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defaultThemeVersion="124226"/>
  <bookViews>
    <workbookView xWindow="-105" yWindow="-105" windowWidth="23250" windowHeight="12570" tabRatio="601" firstSheet="6" activeTab="17"/>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state="hidden" r:id="rId11"/>
    <sheet name="11.F&amp;V Crop Production details" sheetId="83" r:id="rId12"/>
    <sheet name="12.Facility 1 - Trading" sheetId="55" state="hidden" r:id="rId13"/>
    <sheet name="13.Facility 2 Grain Processing" sheetId="72" state="hidden" r:id="rId14"/>
    <sheet name="14. Facility 3 Warehouse" sheetId="42" state="hidden" r:id="rId15"/>
    <sheet name="15. Facility 4 Custom Hiring" sheetId="48" state="hidden" r:id="rId16"/>
    <sheet name="16.Facility 5 Agri Input" sheetId="53" state="hidden" r:id="rId17"/>
    <sheet name="17.Facility 6 Horti Processing " sheetId="84" r:id="rId18"/>
  </sheets>
  <externalReferences>
    <externalReference r:id="rId19"/>
    <externalReference r:id="rId20"/>
  </externalReferences>
  <definedNames>
    <definedName name="_xlnm.Print_Area" localSheetId="1">'1.Project Cost and MOF'!$A$1:$G$35</definedName>
    <definedName name="_xlnm.Print_Area" localSheetId="10">'10.Grain Production details'!$A$1:$Z$114</definedName>
    <definedName name="_xlnm.Print_Area" localSheetId="11">'11.F&amp;V Crop Production details'!$A$1:$H$107</definedName>
    <definedName name="_xlnm.Print_Area" localSheetId="12">'12.Facility 1 - Trading'!$A$1:$J$278</definedName>
    <definedName name="_xlnm.Print_Area" localSheetId="13">'13.Facility 2 Grain Processing'!$A$3:$J$184</definedName>
    <definedName name="_xlnm.Print_Area" localSheetId="14">'14. Facility 3 Warehouse'!$A$1:$K$51</definedName>
    <definedName name="_xlnm.Print_Area" localSheetId="15">'15. Facility 4 Custom Hiring'!$A$1:$M$62</definedName>
    <definedName name="_xlnm.Print_Area" localSheetId="16">'16.Facility 5 Agri Input'!$A$1:$J$251</definedName>
    <definedName name="_xlnm.Print_Area" localSheetId="17">'17.Facility 6 Horti Processing '!$A$1:$J$191</definedName>
    <definedName name="_xlnm.Print_Area" localSheetId="2">'2.Capex Details'!$A$1:$H$148</definedName>
    <definedName name="_xlnm.Print_Area" localSheetId="3">'3.Other Exp &amp; Taxes'!$A$1:$R$105</definedName>
    <definedName name="_xlnm.Print_Area" localSheetId="4">'4.TL repayment sch'!$A$1:$H$45</definedName>
    <definedName name="_xlnm.Print_Area" localSheetId="5">'5.Closing Stock &amp; W Capital'!$A$1:$L$59</definedName>
    <definedName name="_xlnm.Print_Area" localSheetId="6">'6.Cons Profit &amp; Loss'!$A$1:$I$56</definedName>
    <definedName name="_xlnm.Print_Area" localSheetId="7">'7.Balance Sheet'!$A$1:$I$50</definedName>
    <definedName name="_xlnm.Print_Area" localSheetId="8">'8.Cash Flow '!$A$1:$J$38</definedName>
    <definedName name="_xlnm.Print_Area" localSheetId="9">'9. Financial indiacators'!$B$1:$M$186</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83" i="57" l="1"/>
  <c r="G82" i="57"/>
  <c r="G81" i="57"/>
  <c r="G80" i="57"/>
  <c r="G79" i="57"/>
  <c r="G78" i="57"/>
  <c r="G77" i="57"/>
  <c r="G76" i="57"/>
  <c r="G75" i="57"/>
  <c r="G74" i="57"/>
  <c r="G73" i="57"/>
  <c r="G72" i="57"/>
  <c r="G71" i="57"/>
  <c r="G70" i="57"/>
  <c r="G69" i="57"/>
  <c r="G68" i="57"/>
  <c r="G67" i="57"/>
  <c r="G66" i="57"/>
  <c r="G65" i="57"/>
  <c r="G64" i="57"/>
  <c r="G63" i="57"/>
  <c r="G62" i="57"/>
  <c r="G61" i="57"/>
  <c r="G60" i="57"/>
  <c r="G59" i="57"/>
  <c r="G58" i="57"/>
  <c r="G57" i="57"/>
  <c r="G56" i="57"/>
  <c r="G55" i="57"/>
  <c r="G54" i="57"/>
  <c r="G53" i="57"/>
  <c r="G52" i="57"/>
  <c r="G51" i="57"/>
  <c r="G50" i="57"/>
  <c r="G49" i="57"/>
  <c r="G48" i="57"/>
  <c r="G47" i="57"/>
  <c r="G46" i="57"/>
  <c r="G45" i="57"/>
  <c r="G44" i="57"/>
  <c r="G43" i="57"/>
  <c r="G42" i="57"/>
  <c r="G41" i="57"/>
  <c r="G40" i="57"/>
  <c r="G39" i="57"/>
  <c r="G38" i="57"/>
  <c r="G37" i="57"/>
  <c r="G36" i="57"/>
  <c r="G35" i="57"/>
  <c r="N162" i="84" l="1"/>
  <c r="N161" i="84"/>
  <c r="J82" i="57" l="1"/>
  <c r="J81" i="57"/>
  <c r="C64" i="83"/>
  <c r="D64" i="83" s="1"/>
  <c r="E64" i="83" s="1"/>
  <c r="F64" i="83" s="1"/>
  <c r="G64" i="83" s="1"/>
  <c r="H64" i="83" s="1"/>
  <c r="N176" i="84" l="1"/>
  <c r="O176" i="84" s="1"/>
  <c r="P176" i="84" s="1"/>
  <c r="Q176" i="84" s="1"/>
  <c r="R176" i="84" s="1"/>
  <c r="S176" i="84" s="1"/>
  <c r="N167" i="84"/>
  <c r="O167" i="84" s="1"/>
  <c r="P167" i="84" s="1"/>
  <c r="Q167" i="84" s="1"/>
  <c r="R167" i="84" s="1"/>
  <c r="S167" i="84" s="1"/>
  <c r="O162" i="84"/>
  <c r="P161" i="84"/>
  <c r="A142" i="84"/>
  <c r="A143" i="84"/>
  <c r="A141" i="84"/>
  <c r="A156" i="84"/>
  <c r="A165" i="84" s="1"/>
  <c r="A155" i="84"/>
  <c r="A164" i="84" s="1"/>
  <c r="A154" i="84"/>
  <c r="A163" i="84" s="1"/>
  <c r="N167" i="72"/>
  <c r="O167" i="72" s="1"/>
  <c r="P167" i="72" s="1"/>
  <c r="Q167" i="72" s="1"/>
  <c r="R167" i="72" s="1"/>
  <c r="S167" i="72" s="1"/>
  <c r="S160" i="72"/>
  <c r="S169" i="72" s="1"/>
  <c r="R160" i="72"/>
  <c r="R169" i="72" s="1"/>
  <c r="Q160" i="72"/>
  <c r="Q169" i="72" s="1"/>
  <c r="P160" i="72"/>
  <c r="P161" i="72" s="1"/>
  <c r="O160" i="72"/>
  <c r="O169" i="72" s="1"/>
  <c r="N160" i="72"/>
  <c r="N161" i="72" s="1"/>
  <c r="M160" i="72"/>
  <c r="M169" i="72" s="1"/>
  <c r="N158" i="72"/>
  <c r="O158" i="72" s="1"/>
  <c r="P158" i="72" s="1"/>
  <c r="Q158" i="72" s="1"/>
  <c r="R158" i="72" s="1"/>
  <c r="S158" i="72" s="1"/>
  <c r="N153" i="72"/>
  <c r="P153" i="72" s="1"/>
  <c r="N152" i="72"/>
  <c r="N154" i="72" s="1"/>
  <c r="N155" i="72" s="1"/>
  <c r="P152" i="72" l="1"/>
  <c r="P154" i="72" s="1"/>
  <c r="O161" i="84"/>
  <c r="P162" i="84"/>
  <c r="P163" i="84" s="1"/>
  <c r="D167" i="84" s="1"/>
  <c r="N163" i="84"/>
  <c r="N164" i="84" s="1"/>
  <c r="O161" i="72"/>
  <c r="O163" i="72" s="1"/>
  <c r="O165" i="72" s="1"/>
  <c r="N169" i="72"/>
  <c r="O163" i="84"/>
  <c r="O152" i="72"/>
  <c r="Q161" i="72"/>
  <c r="Q170" i="72" s="1"/>
  <c r="Q172" i="72" s="1"/>
  <c r="N163" i="72"/>
  <c r="N165" i="72" s="1"/>
  <c r="N170" i="72"/>
  <c r="N172" i="72" s="1"/>
  <c r="P170" i="72"/>
  <c r="P172" i="72" s="1"/>
  <c r="P163" i="72"/>
  <c r="P165" i="72" s="1"/>
  <c r="O153" i="72"/>
  <c r="M161" i="72"/>
  <c r="S161" i="72"/>
  <c r="P169" i="72"/>
  <c r="R161" i="72"/>
  <c r="Q163" i="72"/>
  <c r="Q165" i="72" s="1"/>
  <c r="G87" i="57"/>
  <c r="O154" i="72" l="1"/>
  <c r="O170" i="72"/>
  <c r="O172" i="72" s="1"/>
  <c r="M163" i="72"/>
  <c r="M165" i="72" s="1"/>
  <c r="M170" i="72"/>
  <c r="M172" i="72" s="1"/>
  <c r="R170" i="72"/>
  <c r="R172" i="72" s="1"/>
  <c r="R163" i="72"/>
  <c r="R165" i="72" s="1"/>
  <c r="S163" i="72"/>
  <c r="S165" i="72" s="1"/>
  <c r="S170" i="72"/>
  <c r="S172" i="72" s="1"/>
  <c r="O268" i="55"/>
  <c r="P268" i="55" s="1"/>
  <c r="Q268" i="55" s="1"/>
  <c r="R268" i="55" s="1"/>
  <c r="S268" i="55" s="1"/>
  <c r="T268" i="55" s="1"/>
  <c r="O259" i="55"/>
  <c r="P259" i="55" s="1"/>
  <c r="Q259" i="55" s="1"/>
  <c r="R259" i="55" s="1"/>
  <c r="S259" i="55" s="1"/>
  <c r="T259" i="55" s="1"/>
  <c r="O254" i="55"/>
  <c r="P254" i="55" s="1"/>
  <c r="O253" i="55"/>
  <c r="O255" i="55" l="1"/>
  <c r="O256" i="55" s="1"/>
  <c r="P253" i="55"/>
  <c r="P255" i="55" s="1"/>
  <c r="B7" i="83" l="1"/>
  <c r="B9" i="83" s="1"/>
  <c r="D14" i="83" s="1"/>
  <c r="B7" i="81"/>
  <c r="B9" i="81" s="1"/>
  <c r="C23" i="81" s="1"/>
  <c r="D30" i="81" s="1"/>
  <c r="B113" i="81"/>
  <c r="C30" i="53" s="1"/>
  <c r="C76" i="53" s="1"/>
  <c r="C31" i="53"/>
  <c r="C77" i="53" s="1"/>
  <c r="C159" i="53"/>
  <c r="B58" i="55"/>
  <c r="B32" i="55"/>
  <c r="B84" i="55" s="1"/>
  <c r="B130" i="55" s="1"/>
  <c r="D181" i="55" s="1"/>
  <c r="B146" i="55"/>
  <c r="D198" i="55" s="1"/>
  <c r="B34" i="72"/>
  <c r="C139" i="72"/>
  <c r="C140" i="72"/>
  <c r="C141" i="72"/>
  <c r="C142" i="72"/>
  <c r="F8" i="48"/>
  <c r="H8" i="48" s="1"/>
  <c r="D28" i="48"/>
  <c r="F9" i="48"/>
  <c r="H9" i="48" s="1"/>
  <c r="J9" i="48" s="1"/>
  <c r="C29" i="48"/>
  <c r="F29" i="48" s="1"/>
  <c r="D29" i="48"/>
  <c r="F10" i="48"/>
  <c r="H10" i="48"/>
  <c r="D30" i="48"/>
  <c r="F11" i="48"/>
  <c r="H11" i="48" s="1"/>
  <c r="C31" i="48" s="1"/>
  <c r="E31" i="48" s="1"/>
  <c r="D31" i="48"/>
  <c r="F12" i="48"/>
  <c r="H12" i="48"/>
  <c r="J12" i="48" s="1"/>
  <c r="D32" i="48"/>
  <c r="C33" i="48"/>
  <c r="E33" i="48" s="1"/>
  <c r="D33" i="48"/>
  <c r="C34" i="48"/>
  <c r="D34" i="48"/>
  <c r="E34" i="48"/>
  <c r="C35" i="48"/>
  <c r="D35" i="48"/>
  <c r="F35" i="48" s="1"/>
  <c r="C36" i="48"/>
  <c r="D36" i="48"/>
  <c r="C37" i="48"/>
  <c r="D37" i="48"/>
  <c r="E37" i="48"/>
  <c r="C38" i="48"/>
  <c r="F38" i="48" s="1"/>
  <c r="D38" i="48"/>
  <c r="E38" i="48"/>
  <c r="B10" i="42"/>
  <c r="D21" i="42"/>
  <c r="D23" i="42" s="1"/>
  <c r="D182" i="53"/>
  <c r="D191" i="53"/>
  <c r="D214" i="53"/>
  <c r="B5" i="55"/>
  <c r="H80" i="57"/>
  <c r="B253" i="55" s="1"/>
  <c r="D230" i="55"/>
  <c r="D249" i="55"/>
  <c r="D250" i="55"/>
  <c r="B5" i="72"/>
  <c r="H65" i="57"/>
  <c r="B158" i="72" s="1"/>
  <c r="H91" i="57"/>
  <c r="H93" i="57" s="1"/>
  <c r="J11" i="48"/>
  <c r="J13" i="48"/>
  <c r="J14" i="48"/>
  <c r="J15" i="48"/>
  <c r="J16" i="48"/>
  <c r="J17" i="48"/>
  <c r="M8" i="48"/>
  <c r="M9" i="48"/>
  <c r="M10" i="48"/>
  <c r="M11" i="48"/>
  <c r="M12" i="48"/>
  <c r="M13" i="48"/>
  <c r="M14" i="48"/>
  <c r="M15" i="48"/>
  <c r="M16" i="48"/>
  <c r="M17" i="48"/>
  <c r="D27" i="42"/>
  <c r="D28" i="42"/>
  <c r="D29" i="42"/>
  <c r="G7" i="57"/>
  <c r="G8" i="57"/>
  <c r="G9" i="57"/>
  <c r="G10" i="57"/>
  <c r="G11" i="57"/>
  <c r="G34" i="57"/>
  <c r="G84" i="57" s="1"/>
  <c r="G21" i="57"/>
  <c r="G22" i="57"/>
  <c r="G23" i="57"/>
  <c r="G24" i="57"/>
  <c r="G25" i="57"/>
  <c r="G26" i="57"/>
  <c r="G27" i="57"/>
  <c r="G28" i="57"/>
  <c r="G29" i="57"/>
  <c r="G30" i="57"/>
  <c r="G31" i="57"/>
  <c r="G88" i="57"/>
  <c r="G89" i="57"/>
  <c r="G90" i="57"/>
  <c r="F102" i="57"/>
  <c r="F103" i="57"/>
  <c r="F104" i="57"/>
  <c r="F105" i="57"/>
  <c r="F106" i="57"/>
  <c r="F107" i="57"/>
  <c r="F116" i="57"/>
  <c r="F117" i="57"/>
  <c r="F118" i="57"/>
  <c r="F119" i="57"/>
  <c r="F120" i="57"/>
  <c r="F121" i="57"/>
  <c r="F131" i="57"/>
  <c r="F132" i="57"/>
  <c r="D145" i="57"/>
  <c r="D10" i="62" s="1"/>
  <c r="F4" i="22"/>
  <c r="F14" i="22" s="1"/>
  <c r="G4" i="22"/>
  <c r="G20" i="22" s="1"/>
  <c r="F22" i="22"/>
  <c r="E22" i="22"/>
  <c r="E21" i="22"/>
  <c r="E20" i="22"/>
  <c r="F19" i="22"/>
  <c r="E19" i="22"/>
  <c r="E18" i="22"/>
  <c r="F17" i="22"/>
  <c r="E17" i="22"/>
  <c r="F16" i="22"/>
  <c r="E16" i="22"/>
  <c r="B9" i="68"/>
  <c r="E8" i="22"/>
  <c r="E9" i="22"/>
  <c r="E10" i="22"/>
  <c r="E11" i="22"/>
  <c r="E12" i="22"/>
  <c r="E13" i="22"/>
  <c r="E14" i="22"/>
  <c r="E15" i="22"/>
  <c r="D264" i="55"/>
  <c r="D271" i="55" s="1"/>
  <c r="D172" i="72"/>
  <c r="D177" i="72"/>
  <c r="D37" i="42"/>
  <c r="D43" i="42" s="1"/>
  <c r="E52" i="48"/>
  <c r="E56" i="48" s="1"/>
  <c r="D179" i="84"/>
  <c r="D180" i="84"/>
  <c r="D236" i="53"/>
  <c r="D237" i="53"/>
  <c r="D238" i="53"/>
  <c r="D239" i="53"/>
  <c r="C10" i="62"/>
  <c r="C9" i="62"/>
  <c r="C8" i="62"/>
  <c r="C7" i="62"/>
  <c r="C6" i="62"/>
  <c r="C5" i="62"/>
  <c r="C40" i="81"/>
  <c r="D40" i="81" s="1"/>
  <c r="E40" i="81" s="1"/>
  <c r="F40" i="81" s="1"/>
  <c r="G40" i="81" s="1"/>
  <c r="H40" i="81" s="1"/>
  <c r="H58" i="55"/>
  <c r="E154" i="55"/>
  <c r="F154" i="55" s="1"/>
  <c r="G154" i="55" s="1"/>
  <c r="H154" i="55" s="1"/>
  <c r="I154" i="55" s="1"/>
  <c r="H32" i="55"/>
  <c r="H84" i="55" s="1"/>
  <c r="H130" i="55" s="1"/>
  <c r="C40" i="83"/>
  <c r="G58" i="55"/>
  <c r="G32" i="55"/>
  <c r="F58" i="55"/>
  <c r="F32" i="55"/>
  <c r="F84" i="55" s="1"/>
  <c r="H249" i="55"/>
  <c r="E58" i="55"/>
  <c r="E32" i="55"/>
  <c r="E84" i="55" s="1"/>
  <c r="G230" i="55"/>
  <c r="G249" i="55"/>
  <c r="G250" i="55"/>
  <c r="D58" i="55"/>
  <c r="D32" i="55"/>
  <c r="D84" i="55" s="1"/>
  <c r="F230" i="55"/>
  <c r="F249" i="55"/>
  <c r="F250" i="55"/>
  <c r="C58" i="55"/>
  <c r="C32" i="55"/>
  <c r="C84" i="55" s="1"/>
  <c r="E230" i="55"/>
  <c r="E249" i="55"/>
  <c r="E250" i="55"/>
  <c r="E149" i="84"/>
  <c r="E179" i="84" s="1"/>
  <c r="K12" i="83"/>
  <c r="L12" i="83" s="1"/>
  <c r="M12" i="83" s="1"/>
  <c r="N12" i="83" s="1"/>
  <c r="H31" i="84"/>
  <c r="H32" i="84"/>
  <c r="H33" i="84"/>
  <c r="C65" i="81"/>
  <c r="D65" i="81" s="1"/>
  <c r="E65" i="81"/>
  <c r="F65" i="81" s="1"/>
  <c r="G65" i="81" s="1"/>
  <c r="H65" i="81" s="1"/>
  <c r="C33" i="72"/>
  <c r="D33" i="72" s="1"/>
  <c r="E33" i="72" s="1"/>
  <c r="E34" i="72" s="1"/>
  <c r="F33" i="72"/>
  <c r="G33" i="72" s="1"/>
  <c r="H33" i="72" s="1"/>
  <c r="H34" i="72" s="1"/>
  <c r="E133" i="72"/>
  <c r="F133" i="72" s="1"/>
  <c r="G133" i="72" s="1"/>
  <c r="H133" i="72" s="1"/>
  <c r="I133" i="72" s="1"/>
  <c r="J133" i="72" s="1"/>
  <c r="D34" i="72"/>
  <c r="C34" i="72"/>
  <c r="F15" i="22"/>
  <c r="F12" i="22"/>
  <c r="F11" i="22"/>
  <c r="F9" i="22"/>
  <c r="C90" i="81"/>
  <c r="C113" i="81" s="1"/>
  <c r="D90" i="81"/>
  <c r="E90" i="81" s="1"/>
  <c r="F90" i="81" s="1"/>
  <c r="G90" i="81" s="1"/>
  <c r="H90" i="81" s="1"/>
  <c r="E109" i="53"/>
  <c r="F109" i="53" s="1"/>
  <c r="F239" i="53" s="1"/>
  <c r="I31" i="53"/>
  <c r="I77" i="53"/>
  <c r="H31" i="53"/>
  <c r="H77" i="53" s="1"/>
  <c r="G31" i="53"/>
  <c r="G77" i="53" s="1"/>
  <c r="F31" i="53"/>
  <c r="F77" i="53" s="1"/>
  <c r="E31" i="53"/>
  <c r="E77" i="53" s="1"/>
  <c r="D31" i="53"/>
  <c r="D77" i="53" s="1"/>
  <c r="F23" i="48"/>
  <c r="F36" i="48" s="1"/>
  <c r="E17" i="42"/>
  <c r="C146" i="55"/>
  <c r="F34" i="48"/>
  <c r="C9" i="42"/>
  <c r="D146" i="55"/>
  <c r="E146" i="55"/>
  <c r="F146" i="55"/>
  <c r="H198" i="55" s="1"/>
  <c r="G146" i="55"/>
  <c r="H146" i="55"/>
  <c r="A42" i="81"/>
  <c r="A67" i="81" s="1"/>
  <c r="A59" i="83"/>
  <c r="A58" i="83"/>
  <c r="A57" i="83"/>
  <c r="A56" i="83"/>
  <c r="C9" i="61"/>
  <c r="C17" i="61"/>
  <c r="V8" i="61"/>
  <c r="V9" i="61"/>
  <c r="V10" i="61"/>
  <c r="V12" i="61"/>
  <c r="V13" i="61"/>
  <c r="U13" i="61"/>
  <c r="U12" i="61"/>
  <c r="U10" i="61"/>
  <c r="U11" i="61"/>
  <c r="U9" i="61"/>
  <c r="O13" i="61"/>
  <c r="P13" i="61" s="1"/>
  <c r="Q13" i="61" s="1"/>
  <c r="R13" i="61" s="1"/>
  <c r="N13" i="61"/>
  <c r="O12" i="61"/>
  <c r="N12" i="61"/>
  <c r="N11" i="61"/>
  <c r="N10" i="61"/>
  <c r="O10" i="61"/>
  <c r="P10" i="61" s="1"/>
  <c r="Q10" i="61" s="1"/>
  <c r="R10" i="61" s="1"/>
  <c r="O9" i="61"/>
  <c r="P9" i="61" s="1"/>
  <c r="Q9" i="61" s="1"/>
  <c r="R9" i="61" s="1"/>
  <c r="N9" i="61"/>
  <c r="R8" i="61"/>
  <c r="Q8" i="61"/>
  <c r="P8" i="61"/>
  <c r="O8" i="61"/>
  <c r="P12" i="61"/>
  <c r="Q12" i="61" s="1"/>
  <c r="R12" i="61" s="1"/>
  <c r="C15" i="61"/>
  <c r="C16" i="61"/>
  <c r="I176" i="29"/>
  <c r="H176" i="29"/>
  <c r="G176" i="29"/>
  <c r="F176" i="29"/>
  <c r="E176" i="29"/>
  <c r="D176" i="29"/>
  <c r="C176" i="29"/>
  <c r="B131" i="29"/>
  <c r="B146" i="29"/>
  <c r="B161" i="29"/>
  <c r="B176" i="29" s="1"/>
  <c r="B130" i="29"/>
  <c r="B145" i="29" s="1"/>
  <c r="B160" i="29" s="1"/>
  <c r="B175" i="29" s="1"/>
  <c r="I161" i="29"/>
  <c r="H161" i="29"/>
  <c r="G161" i="29"/>
  <c r="F161" i="29"/>
  <c r="E161" i="29"/>
  <c r="D161" i="29"/>
  <c r="C161" i="29"/>
  <c r="I146" i="29"/>
  <c r="H146" i="29"/>
  <c r="G146" i="29"/>
  <c r="F146" i="29"/>
  <c r="E146" i="29"/>
  <c r="D146" i="29"/>
  <c r="C146" i="29"/>
  <c r="I131" i="29"/>
  <c r="H131" i="29"/>
  <c r="G131" i="29"/>
  <c r="F131" i="29"/>
  <c r="E131" i="29"/>
  <c r="D131" i="29"/>
  <c r="C131" i="29"/>
  <c r="B129" i="29"/>
  <c r="B128" i="29"/>
  <c r="B143" i="29" s="1"/>
  <c r="B158" i="29" s="1"/>
  <c r="B173" i="29" s="1"/>
  <c r="B127" i="29"/>
  <c r="B142" i="29" s="1"/>
  <c r="B157" i="29" s="1"/>
  <c r="B172" i="29" s="1"/>
  <c r="B126" i="29"/>
  <c r="B125" i="29"/>
  <c r="B140" i="29" s="1"/>
  <c r="B155" i="29" s="1"/>
  <c r="B170" i="29" s="1"/>
  <c r="B37" i="29"/>
  <c r="B36" i="29"/>
  <c r="B35" i="29"/>
  <c r="B34" i="29"/>
  <c r="B33" i="29"/>
  <c r="B32" i="29"/>
  <c r="C52" i="61"/>
  <c r="C51" i="61"/>
  <c r="C50" i="61"/>
  <c r="C49" i="61"/>
  <c r="C48" i="61"/>
  <c r="C47" i="61"/>
  <c r="E180" i="84"/>
  <c r="A23" i="21"/>
  <c r="A48" i="55"/>
  <c r="A51" i="55"/>
  <c r="A102" i="55" s="1"/>
  <c r="A147" i="55" s="1"/>
  <c r="A199" i="55" s="1"/>
  <c r="A245" i="55" s="1"/>
  <c r="A156" i="53"/>
  <c r="A214" i="53" s="1"/>
  <c r="A62" i="83"/>
  <c r="A54" i="55" s="1"/>
  <c r="A105" i="55" s="1"/>
  <c r="A150" i="55" s="1"/>
  <c r="A202" i="55" s="1"/>
  <c r="A248" i="55" s="1"/>
  <c r="A61" i="83"/>
  <c r="A60" i="83"/>
  <c r="A52" i="55" s="1"/>
  <c r="A103" i="55" s="1"/>
  <c r="A148" i="55" s="1"/>
  <c r="A200" i="55" s="1"/>
  <c r="A246" i="55" s="1"/>
  <c r="A55" i="83"/>
  <c r="A59" i="84"/>
  <c r="A120" i="84" s="1"/>
  <c r="A58" i="84"/>
  <c r="A119" i="84" s="1"/>
  <c r="A54" i="83"/>
  <c r="A53" i="83"/>
  <c r="A52" i="83"/>
  <c r="A51" i="83"/>
  <c r="A50" i="83"/>
  <c r="A49" i="83"/>
  <c r="A48" i="83"/>
  <c r="A47" i="83"/>
  <c r="A40" i="55" s="1"/>
  <c r="A92" i="55" s="1"/>
  <c r="A138" i="55" s="1"/>
  <c r="A190" i="55" s="1"/>
  <c r="A237" i="55" s="1"/>
  <c r="A46" i="83"/>
  <c r="A37" i="53" s="1"/>
  <c r="A45" i="83"/>
  <c r="A38" i="55" s="1"/>
  <c r="A90" i="55" s="1"/>
  <c r="A136" i="55" s="1"/>
  <c r="A188" i="55" s="1"/>
  <c r="A235" i="55" s="1"/>
  <c r="A44" i="83"/>
  <c r="A68" i="83" s="1"/>
  <c r="A43" i="83"/>
  <c r="A67" i="83" s="1"/>
  <c r="A14" i="84" s="1"/>
  <c r="A42" i="83"/>
  <c r="A66" i="83" s="1"/>
  <c r="A32" i="53"/>
  <c r="A138" i="53" s="1"/>
  <c r="A197" i="53" s="1"/>
  <c r="A31" i="53"/>
  <c r="A62" i="81"/>
  <c r="A87" i="81" s="1"/>
  <c r="A112" i="81" s="1"/>
  <c r="A30" i="53" s="1"/>
  <c r="A61" i="81"/>
  <c r="A86" i="81" s="1"/>
  <c r="A111" i="81" s="1"/>
  <c r="A29" i="53" s="1"/>
  <c r="A60" i="81"/>
  <c r="A85" i="81" s="1"/>
  <c r="A43" i="81"/>
  <c r="A68" i="81" s="1"/>
  <c r="A34" i="55"/>
  <c r="A86" i="55" s="1"/>
  <c r="A132" i="55" s="1"/>
  <c r="A184" i="55" s="1"/>
  <c r="A231" i="55" s="1"/>
  <c r="A41" i="55"/>
  <c r="A93" i="55" s="1"/>
  <c r="A139" i="55" s="1"/>
  <c r="A191" i="55" s="1"/>
  <c r="A238" i="55" s="1"/>
  <c r="A43" i="55"/>
  <c r="A95" i="55" s="1"/>
  <c r="A141" i="55" s="1"/>
  <c r="A193" i="55" s="1"/>
  <c r="A240" i="55" s="1"/>
  <c r="A249" i="55"/>
  <c r="A250" i="55"/>
  <c r="A230" i="55"/>
  <c r="A229" i="55"/>
  <c r="A31" i="55"/>
  <c r="A83" i="55" s="1"/>
  <c r="A129" i="55" s="1"/>
  <c r="A180" i="55" s="1"/>
  <c r="A228" i="55" s="1"/>
  <c r="A59" i="81"/>
  <c r="A28" i="55" s="1"/>
  <c r="A80" i="55" s="1"/>
  <c r="A126" i="55" s="1"/>
  <c r="A177" i="55" s="1"/>
  <c r="A225" i="55" s="1"/>
  <c r="C40" i="84"/>
  <c r="D40" i="84" s="1"/>
  <c r="E264" i="55"/>
  <c r="E271" i="55" s="1"/>
  <c r="E172" i="72"/>
  <c r="E177" i="72" s="1"/>
  <c r="E238" i="53"/>
  <c r="F264" i="55"/>
  <c r="F271" i="55" s="1"/>
  <c r="F172" i="72"/>
  <c r="F177" i="72" s="1"/>
  <c r="F238" i="53"/>
  <c r="G264" i="55"/>
  <c r="G271" i="55" s="1"/>
  <c r="G172" i="72"/>
  <c r="G177" i="72"/>
  <c r="H264" i="55"/>
  <c r="H271" i="55" s="1"/>
  <c r="H172" i="72"/>
  <c r="H177" i="72" s="1"/>
  <c r="I264" i="55"/>
  <c r="I271" i="55" s="1"/>
  <c r="I172" i="72"/>
  <c r="I177" i="72" s="1"/>
  <c r="G43" i="21"/>
  <c r="I97" i="29" s="1"/>
  <c r="J172" i="72"/>
  <c r="J177" i="72" s="1"/>
  <c r="H43" i="21"/>
  <c r="J12" i="29" s="1"/>
  <c r="H87" i="22"/>
  <c r="I87" i="22"/>
  <c r="A61" i="22"/>
  <c r="A62" i="22"/>
  <c r="A63" i="22"/>
  <c r="A64" i="22"/>
  <c r="B141" i="29"/>
  <c r="B156" i="29" s="1"/>
  <c r="B171" i="29" s="1"/>
  <c r="B144" i="29"/>
  <c r="B159" i="29" s="1"/>
  <c r="B174" i="29" s="1"/>
  <c r="H32" i="57"/>
  <c r="C65" i="29"/>
  <c r="D65" i="29" s="1"/>
  <c r="E65" i="29" s="1"/>
  <c r="F65" i="29" s="1"/>
  <c r="G65" i="29" s="1"/>
  <c r="H65" i="29" s="1"/>
  <c r="I65" i="29" s="1"/>
  <c r="I61" i="29"/>
  <c r="V12" i="83"/>
  <c r="W12" i="83" s="1"/>
  <c r="X12" i="83" s="1"/>
  <c r="P12" i="83"/>
  <c r="Q12" i="83" s="1"/>
  <c r="R12" i="83" s="1"/>
  <c r="S12" i="83" s="1"/>
  <c r="T12" i="83" s="1"/>
  <c r="K12" i="81"/>
  <c r="L12" i="81" s="1"/>
  <c r="M12" i="81" s="1"/>
  <c r="N12" i="81" s="1"/>
  <c r="A44" i="81"/>
  <c r="A69" i="81" s="1"/>
  <c r="F13" i="48"/>
  <c r="F14" i="48"/>
  <c r="F15" i="48"/>
  <c r="F16" i="48"/>
  <c r="F17" i="48"/>
  <c r="A137" i="53"/>
  <c r="A196" i="53" s="1"/>
  <c r="A26" i="53"/>
  <c r="A132" i="53" s="1"/>
  <c r="A191" i="53" s="1"/>
  <c r="A58" i="81"/>
  <c r="A83" i="81" s="1"/>
  <c r="A108" i="81" s="1"/>
  <c r="A25" i="53" s="1"/>
  <c r="A57" i="81"/>
  <c r="A82" i="81" s="1"/>
  <c r="A56" i="81"/>
  <c r="A81" i="81" s="1"/>
  <c r="A55" i="81"/>
  <c r="A80" i="81" s="1"/>
  <c r="A54" i="81"/>
  <c r="A79" i="81" s="1"/>
  <c r="A104" i="81" s="1"/>
  <c r="A21" i="53" s="1"/>
  <c r="A53" i="81"/>
  <c r="A78" i="81" s="1"/>
  <c r="A52" i="81"/>
  <c r="A77" i="81" s="1"/>
  <c r="A51" i="81"/>
  <c r="A76" i="81" s="1"/>
  <c r="A123" i="53"/>
  <c r="A182" i="53" s="1"/>
  <c r="A49" i="81"/>
  <c r="A74" i="81" s="1"/>
  <c r="A48" i="81"/>
  <c r="A73" i="81" s="1"/>
  <c r="A47" i="81"/>
  <c r="A72" i="81" s="1"/>
  <c r="A97" i="81" s="1"/>
  <c r="A14" i="53" s="1"/>
  <c r="A60" i="53" s="1"/>
  <c r="A46" i="81"/>
  <c r="A71" i="81" s="1"/>
  <c r="A17" i="72" s="1"/>
  <c r="A41" i="72" s="1"/>
  <c r="A72" i="72" s="1"/>
  <c r="A45" i="81"/>
  <c r="A114" i="53"/>
  <c r="A54" i="53"/>
  <c r="A77" i="53"/>
  <c r="A63" i="53"/>
  <c r="A50" i="81"/>
  <c r="A19" i="55" s="1"/>
  <c r="A71" i="55" s="1"/>
  <c r="A117" i="55" s="1"/>
  <c r="A168" i="55" s="1"/>
  <c r="A216" i="55" s="1"/>
  <c r="A121" i="72"/>
  <c r="A29" i="72"/>
  <c r="A53" i="72" s="1"/>
  <c r="A112" i="72" s="1"/>
  <c r="A27" i="55"/>
  <c r="A79" i="55" s="1"/>
  <c r="A125" i="55" s="1"/>
  <c r="A176" i="55" s="1"/>
  <c r="A224" i="55" s="1"/>
  <c r="A25" i="55"/>
  <c r="A77" i="55" s="1"/>
  <c r="A123" i="55" s="1"/>
  <c r="A174" i="55" s="1"/>
  <c r="A222" i="55" s="1"/>
  <c r="A21" i="55"/>
  <c r="A73" i="55" s="1"/>
  <c r="A119" i="55" s="1"/>
  <c r="A170" i="55" s="1"/>
  <c r="A218" i="55" s="1"/>
  <c r="A13" i="55"/>
  <c r="A65" i="55" s="1"/>
  <c r="A111" i="55" s="1"/>
  <c r="A162" i="55" s="1"/>
  <c r="A210" i="55" s="1"/>
  <c r="A32" i="55"/>
  <c r="A84" i="55" s="1"/>
  <c r="A130" i="55" s="1"/>
  <c r="V12" i="81"/>
  <c r="W12" i="81" s="1"/>
  <c r="X12" i="81" s="1"/>
  <c r="P12" i="81"/>
  <c r="Q12" i="81" s="1"/>
  <c r="R12" i="81" s="1"/>
  <c r="S12" i="81" s="1"/>
  <c r="T12" i="81" s="1"/>
  <c r="A32" i="48"/>
  <c r="A31" i="48"/>
  <c r="A30" i="48"/>
  <c r="A29" i="48"/>
  <c r="A28" i="48"/>
  <c r="M15" i="62"/>
  <c r="M17" i="62" s="1"/>
  <c r="B98" i="29"/>
  <c r="B97" i="29"/>
  <c r="B96" i="29"/>
  <c r="B95" i="29"/>
  <c r="A20" i="21"/>
  <c r="A30" i="21" s="1"/>
  <c r="A19" i="21"/>
  <c r="A29" i="21" s="1"/>
  <c r="A18" i="21"/>
  <c r="A28" i="21" s="1"/>
  <c r="A21" i="21"/>
  <c r="A31" i="21" s="1"/>
  <c r="A22" i="21"/>
  <c r="A32" i="21" s="1"/>
  <c r="K145" i="72"/>
  <c r="B17" i="68"/>
  <c r="B16" i="68"/>
  <c r="A222" i="53"/>
  <c r="A221" i="53"/>
  <c r="A220" i="53"/>
  <c r="A218" i="53"/>
  <c r="A217" i="53"/>
  <c r="A216" i="53"/>
  <c r="A215" i="53"/>
  <c r="A172" i="53"/>
  <c r="A33" i="21" l="1"/>
  <c r="C86" i="22"/>
  <c r="C87" i="22" s="1"/>
  <c r="H29" i="21"/>
  <c r="B31" i="21"/>
  <c r="G29" i="21"/>
  <c r="G34" i="48"/>
  <c r="J8" i="48"/>
  <c r="C28" i="48"/>
  <c r="D113" i="81"/>
  <c r="D30" i="53"/>
  <c r="D76" i="53" s="1"/>
  <c r="F29" i="21"/>
  <c r="A23" i="55"/>
  <c r="A75" i="55" s="1"/>
  <c r="A121" i="55" s="1"/>
  <c r="A172" i="55" s="1"/>
  <c r="A220" i="55" s="1"/>
  <c r="A75" i="81"/>
  <c r="F52" i="48"/>
  <c r="F56" i="48" s="1"/>
  <c r="F33" i="48"/>
  <c r="G23" i="48"/>
  <c r="G11" i="22"/>
  <c r="G15" i="22"/>
  <c r="G19" i="22"/>
  <c r="G22" i="22"/>
  <c r="E35" i="48"/>
  <c r="C32" i="48"/>
  <c r="G9" i="22"/>
  <c r="A25" i="72"/>
  <c r="A49" i="72" s="1"/>
  <c r="A100" i="72" s="1"/>
  <c r="F8" i="22"/>
  <c r="F13" i="22"/>
  <c r="G12" i="57"/>
  <c r="D5" i="62" s="1"/>
  <c r="F20" i="22"/>
  <c r="A15" i="55"/>
  <c r="A67" i="55" s="1"/>
  <c r="A113" i="55" s="1"/>
  <c r="A164" i="55" s="1"/>
  <c r="A212" i="55" s="1"/>
  <c r="C41" i="84"/>
  <c r="F37" i="48"/>
  <c r="G8" i="22"/>
  <c r="G13" i="22"/>
  <c r="F34" i="72"/>
  <c r="F18" i="22"/>
  <c r="F21" i="22"/>
  <c r="A11" i="55"/>
  <c r="A63" i="55" s="1"/>
  <c r="A109" i="55" s="1"/>
  <c r="A160" i="55" s="1"/>
  <c r="A208" i="55" s="1"/>
  <c r="G35" i="48"/>
  <c r="F31" i="48"/>
  <c r="A17" i="55"/>
  <c r="A69" i="55" s="1"/>
  <c r="A115" i="55" s="1"/>
  <c r="A166" i="55" s="1"/>
  <c r="A214" i="55" s="1"/>
  <c r="A84" i="81"/>
  <c r="F10" i="22"/>
  <c r="F23" i="22" s="1"/>
  <c r="G34" i="72"/>
  <c r="G18" i="22"/>
  <c r="G21" i="22"/>
  <c r="G12" i="22"/>
  <c r="G17" i="22"/>
  <c r="E29" i="48"/>
  <c r="J97" i="29"/>
  <c r="G10" i="22"/>
  <c r="G14" i="22"/>
  <c r="E36" i="48"/>
  <c r="D244" i="53"/>
  <c r="A72" i="53"/>
  <c r="D136" i="53"/>
  <c r="D195" i="53"/>
  <c r="E137" i="53"/>
  <c r="E196" i="53"/>
  <c r="D137" i="53"/>
  <c r="D196" i="53"/>
  <c r="A78" i="53"/>
  <c r="F237" i="53"/>
  <c r="E237" i="53"/>
  <c r="E214" i="53"/>
  <c r="F191" i="53"/>
  <c r="F236" i="53"/>
  <c r="E236" i="53"/>
  <c r="E191" i="53"/>
  <c r="E239" i="53"/>
  <c r="E182" i="53"/>
  <c r="G84" i="55"/>
  <c r="G130" i="55" s="1"/>
  <c r="I198" i="55"/>
  <c r="H250" i="55"/>
  <c r="D229" i="55"/>
  <c r="H230" i="55"/>
  <c r="C28" i="21"/>
  <c r="G28" i="21"/>
  <c r="G198" i="55"/>
  <c r="A53" i="55"/>
  <c r="A104" i="55" s="1"/>
  <c r="A149" i="55" s="1"/>
  <c r="A201" i="55" s="1"/>
  <c r="A247" i="55" s="1"/>
  <c r="B30" i="21"/>
  <c r="E38" i="61"/>
  <c r="B10" i="21"/>
  <c r="E167" i="84"/>
  <c r="E168" i="84"/>
  <c r="D184" i="84"/>
  <c r="E184" i="84"/>
  <c r="C33" i="21" s="1"/>
  <c r="A99" i="81"/>
  <c r="A16" i="53" s="1"/>
  <c r="A20" i="72"/>
  <c r="A44" i="72" s="1"/>
  <c r="A83" i="72" s="1"/>
  <c r="A135" i="53"/>
  <c r="A194" i="53" s="1"/>
  <c r="A75" i="53"/>
  <c r="A120" i="53"/>
  <c r="A179" i="53" s="1"/>
  <c r="A127" i="53"/>
  <c r="A186" i="53" s="1"/>
  <c r="A67" i="53"/>
  <c r="A131" i="53"/>
  <c r="A190" i="53" s="1"/>
  <c r="A71" i="53"/>
  <c r="A76" i="53"/>
  <c r="A136" i="53"/>
  <c r="A195" i="53" s="1"/>
  <c r="A103" i="81"/>
  <c r="A20" i="53" s="1"/>
  <c r="A24" i="72"/>
  <c r="A48" i="72" s="1"/>
  <c r="A97" i="72" s="1"/>
  <c r="A107" i="81"/>
  <c r="A24" i="53" s="1"/>
  <c r="A28" i="72"/>
  <c r="A52" i="72" s="1"/>
  <c r="A109" i="72" s="1"/>
  <c r="E28" i="21"/>
  <c r="A70" i="81"/>
  <c r="A14" i="55"/>
  <c r="A66" i="55" s="1"/>
  <c r="A112" i="55" s="1"/>
  <c r="A163" i="55" s="1"/>
  <c r="A211" i="55" s="1"/>
  <c r="A22" i="72"/>
  <c r="A46" i="72" s="1"/>
  <c r="A91" i="72" s="1"/>
  <c r="A101" i="81"/>
  <c r="A18" i="53" s="1"/>
  <c r="A26" i="72"/>
  <c r="A50" i="72" s="1"/>
  <c r="A103" i="72" s="1"/>
  <c r="A105" i="81"/>
  <c r="A22" i="53" s="1"/>
  <c r="D29" i="21"/>
  <c r="C29" i="21"/>
  <c r="A14" i="72"/>
  <c r="A38" i="72" s="1"/>
  <c r="A62" i="72" s="1"/>
  <c r="A93" i="81"/>
  <c r="A10" i="53" s="1"/>
  <c r="A18" i="72"/>
  <c r="A42" i="72" s="1"/>
  <c r="A77" i="72" s="1"/>
  <c r="A96" i="81"/>
  <c r="A13" i="53" s="1"/>
  <c r="A19" i="72"/>
  <c r="A43" i="72" s="1"/>
  <c r="A80" i="72" s="1"/>
  <c r="A98" i="81"/>
  <c r="A15" i="53" s="1"/>
  <c r="A23" i="72"/>
  <c r="A47" i="72" s="1"/>
  <c r="A94" i="72" s="1"/>
  <c r="A102" i="81"/>
  <c r="A19" i="53" s="1"/>
  <c r="A27" i="72"/>
  <c r="A51" i="72" s="1"/>
  <c r="A106" i="72" s="1"/>
  <c r="A106" i="81"/>
  <c r="A23" i="53" s="1"/>
  <c r="A94" i="81"/>
  <c r="A11" i="53" s="1"/>
  <c r="A15" i="72"/>
  <c r="A39" i="72" s="1"/>
  <c r="A65" i="72" s="1"/>
  <c r="D28" i="21"/>
  <c r="A110" i="81"/>
  <c r="A28" i="53" s="1"/>
  <c r="A31" i="72"/>
  <c r="A55" i="72" s="1"/>
  <c r="A118" i="72" s="1"/>
  <c r="A13" i="72"/>
  <c r="A37" i="72" s="1"/>
  <c r="A58" i="72" s="1"/>
  <c r="A92" i="81"/>
  <c r="A9" i="53" s="1"/>
  <c r="A12" i="55"/>
  <c r="A64" i="55" s="1"/>
  <c r="A110" i="55" s="1"/>
  <c r="A161" i="55" s="1"/>
  <c r="A209" i="55" s="1"/>
  <c r="A16" i="55"/>
  <c r="A68" i="55" s="1"/>
  <c r="A114" i="55" s="1"/>
  <c r="A165" i="55" s="1"/>
  <c r="A213" i="55" s="1"/>
  <c r="A20" i="55"/>
  <c r="A72" i="55" s="1"/>
  <c r="A118" i="55" s="1"/>
  <c r="A169" i="55" s="1"/>
  <c r="A217" i="55" s="1"/>
  <c r="A24" i="55"/>
  <c r="A76" i="55" s="1"/>
  <c r="A122" i="55" s="1"/>
  <c r="A173" i="55" s="1"/>
  <c r="A221" i="55" s="1"/>
  <c r="F196" i="53"/>
  <c r="F137" i="53"/>
  <c r="F17" i="42"/>
  <c r="E27" i="42"/>
  <c r="E28" i="42"/>
  <c r="E29" i="42"/>
  <c r="I12" i="29"/>
  <c r="H61" i="29"/>
  <c r="E37" i="42"/>
  <c r="E43" i="42" s="1"/>
  <c r="A29" i="55"/>
  <c r="A81" i="55" s="1"/>
  <c r="A127" i="55" s="1"/>
  <c r="A178" i="55" s="1"/>
  <c r="A226" i="55" s="1"/>
  <c r="C10" i="42"/>
  <c r="E21" i="42" s="1"/>
  <c r="E23" i="42" s="1"/>
  <c r="D9" i="42"/>
  <c r="E198" i="55"/>
  <c r="F198" i="55"/>
  <c r="G109" i="53"/>
  <c r="F214" i="53"/>
  <c r="F182" i="53"/>
  <c r="E195" i="53"/>
  <c r="E136" i="53"/>
  <c r="A18" i="55"/>
  <c r="A70" i="55" s="1"/>
  <c r="A116" i="55" s="1"/>
  <c r="A167" i="55" s="1"/>
  <c r="A215" i="55" s="1"/>
  <c r="A22" i="55"/>
  <c r="A74" i="55" s="1"/>
  <c r="A120" i="55" s="1"/>
  <c r="A171" i="55" s="1"/>
  <c r="A219" i="55" s="1"/>
  <c r="A26" i="55"/>
  <c r="A78" i="55" s="1"/>
  <c r="A124" i="55" s="1"/>
  <c r="A175" i="55" s="1"/>
  <c r="A223" i="55" s="1"/>
  <c r="F28" i="21"/>
  <c r="E29" i="21"/>
  <c r="A30" i="55"/>
  <c r="A82" i="55" s="1"/>
  <c r="A128" i="55" s="1"/>
  <c r="A179" i="55" s="1"/>
  <c r="A227" i="55" s="1"/>
  <c r="A49" i="55"/>
  <c r="A100" i="55" s="1"/>
  <c r="E229" i="55"/>
  <c r="C130" i="55"/>
  <c r="E181" i="55" s="1"/>
  <c r="H229" i="55"/>
  <c r="F130" i="55"/>
  <c r="I229" i="55"/>
  <c r="G229" i="55"/>
  <c r="E130" i="55"/>
  <c r="B28" i="21"/>
  <c r="F229" i="55"/>
  <c r="D130" i="55"/>
  <c r="F149" i="84"/>
  <c r="J154" i="55"/>
  <c r="J229" i="55" s="1"/>
  <c r="I230" i="55"/>
  <c r="I249" i="55"/>
  <c r="I250" i="55"/>
  <c r="D34" i="42"/>
  <c r="C30" i="48"/>
  <c r="J10" i="48"/>
  <c r="B29" i="21"/>
  <c r="C44" i="48"/>
  <c r="E23" i="22"/>
  <c r="B35" i="21" s="1"/>
  <c r="E28" i="48"/>
  <c r="H4" i="22"/>
  <c r="B107" i="81"/>
  <c r="F30" i="81"/>
  <c r="H30" i="81" s="1"/>
  <c r="D27" i="81"/>
  <c r="D31" i="81"/>
  <c r="D28" i="81"/>
  <c r="D24" i="81"/>
  <c r="D25" i="81"/>
  <c r="D26" i="81"/>
  <c r="D29" i="81"/>
  <c r="G16" i="22"/>
  <c r="C32" i="81"/>
  <c r="D14" i="81"/>
  <c r="D15" i="81"/>
  <c r="D16" i="81"/>
  <c r="D17" i="81"/>
  <c r="D18" i="81"/>
  <c r="D19" i="81"/>
  <c r="D20" i="81"/>
  <c r="D21" i="81"/>
  <c r="D22" i="81"/>
  <c r="D41" i="84"/>
  <c r="E40" i="84"/>
  <c r="D40" i="83"/>
  <c r="E40" i="83" s="1"/>
  <c r="F40" i="83" s="1"/>
  <c r="G40" i="83" s="1"/>
  <c r="H40" i="83" s="1"/>
  <c r="A45" i="55"/>
  <c r="A97" i="55" s="1"/>
  <c r="A143" i="55" s="1"/>
  <c r="A195" i="55" s="1"/>
  <c r="A242" i="55" s="1"/>
  <c r="A46" i="55"/>
  <c r="A98" i="55" s="1"/>
  <c r="A144" i="55" s="1"/>
  <c r="A196" i="55" s="1"/>
  <c r="A243" i="55" s="1"/>
  <c r="A39" i="53"/>
  <c r="A85" i="53" s="1"/>
  <c r="A19" i="84"/>
  <c r="A50" i="84" s="1"/>
  <c r="A91" i="84" s="1"/>
  <c r="A40" i="53"/>
  <c r="A86" i="53" s="1"/>
  <c r="A20" i="84"/>
  <c r="A51" i="84" s="1"/>
  <c r="A94" i="84" s="1"/>
  <c r="A41" i="53"/>
  <c r="A147" i="53" s="1"/>
  <c r="A206" i="53" s="1"/>
  <c r="A21" i="84"/>
  <c r="A52" i="84" s="1"/>
  <c r="A98" i="84" s="1"/>
  <c r="A42" i="55"/>
  <c r="A94" i="55" s="1"/>
  <c r="A140" i="55" s="1"/>
  <c r="A192" i="55" s="1"/>
  <c r="A239" i="55" s="1"/>
  <c r="A39" i="55"/>
  <c r="A91" i="55" s="1"/>
  <c r="A137" i="55" s="1"/>
  <c r="A189" i="55" s="1"/>
  <c r="A236" i="55" s="1"/>
  <c r="A31" i="84"/>
  <c r="A50" i="55"/>
  <c r="A101" i="55" s="1"/>
  <c r="A146" i="55" s="1"/>
  <c r="A198" i="55" s="1"/>
  <c r="A143" i="53"/>
  <c r="A202" i="53" s="1"/>
  <c r="A83" i="53"/>
  <c r="A33" i="84"/>
  <c r="A46" i="53"/>
  <c r="M14" i="83"/>
  <c r="J14" i="83"/>
  <c r="A30" i="84"/>
  <c r="A61" i="84" s="1"/>
  <c r="A122" i="84" s="1"/>
  <c r="A45" i="53"/>
  <c r="A32" i="84"/>
  <c r="A17" i="84"/>
  <c r="A48" i="84" s="1"/>
  <c r="A83" i="84" s="1"/>
  <c r="A44" i="55"/>
  <c r="A96" i="55" s="1"/>
  <c r="A142" i="55" s="1"/>
  <c r="A194" i="55" s="1"/>
  <c r="A241" i="55" s="1"/>
  <c r="A60" i="84"/>
  <c r="A121" i="84" s="1"/>
  <c r="A47" i="55"/>
  <c r="A99" i="55" s="1"/>
  <c r="A145" i="55" s="1"/>
  <c r="A197" i="55" s="1"/>
  <c r="A244" i="55" s="1"/>
  <c r="A56" i="84"/>
  <c r="A114" i="84" s="1"/>
  <c r="A57" i="84"/>
  <c r="A118" i="84" s="1"/>
  <c r="A37" i="84"/>
  <c r="A65" i="84" s="1"/>
  <c r="A135" i="84" s="1"/>
  <c r="A50" i="53"/>
  <c r="A48" i="53"/>
  <c r="A35" i="84"/>
  <c r="A63" i="84" s="1"/>
  <c r="A127" i="84" s="1"/>
  <c r="A49" i="53"/>
  <c r="A36" i="84"/>
  <c r="A64" i="84" s="1"/>
  <c r="A131" i="84" s="1"/>
  <c r="A34" i="84"/>
  <c r="A62" i="84" s="1"/>
  <c r="A123" i="84" s="1"/>
  <c r="A47" i="53"/>
  <c r="A44" i="53"/>
  <c r="A24" i="84"/>
  <c r="A55" i="84" s="1"/>
  <c r="A110" i="84" s="1"/>
  <c r="A42" i="53"/>
  <c r="A22" i="84"/>
  <c r="A53" i="84" s="1"/>
  <c r="A102" i="84" s="1"/>
  <c r="A43" i="53"/>
  <c r="A23" i="84"/>
  <c r="A54" i="84" s="1"/>
  <c r="A106" i="84" s="1"/>
  <c r="A35" i="53"/>
  <c r="A15" i="84"/>
  <c r="A13" i="84"/>
  <c r="A33" i="53"/>
  <c r="A34" i="53"/>
  <c r="A37" i="55"/>
  <c r="A89" i="55" s="1"/>
  <c r="A135" i="55" s="1"/>
  <c r="A187" i="55" s="1"/>
  <c r="A234" i="55" s="1"/>
  <c r="A36" i="55"/>
  <c r="A88" i="55" s="1"/>
  <c r="A134" i="55" s="1"/>
  <c r="A186" i="55" s="1"/>
  <c r="A233" i="55" s="1"/>
  <c r="A35" i="55"/>
  <c r="A87" i="55" s="1"/>
  <c r="A133" i="55" s="1"/>
  <c r="A185" i="55" s="1"/>
  <c r="A232" i="55" s="1"/>
  <c r="L14" i="83"/>
  <c r="D22" i="83"/>
  <c r="F22" i="83" s="1"/>
  <c r="H22" i="83" s="1"/>
  <c r="D16" i="83"/>
  <c r="F14" i="83"/>
  <c r="H14" i="83" s="1"/>
  <c r="N14" i="83"/>
  <c r="K14" i="83"/>
  <c r="D35" i="83"/>
  <c r="D15" i="83"/>
  <c r="D17" i="83"/>
  <c r="D34" i="83"/>
  <c r="D21" i="83"/>
  <c r="D18" i="83"/>
  <c r="D33" i="83"/>
  <c r="D20" i="83"/>
  <c r="C28" i="83"/>
  <c r="D19" i="83"/>
  <c r="G91" i="57"/>
  <c r="F122" i="57"/>
  <c r="D8" i="62" s="1"/>
  <c r="C21" i="68"/>
  <c r="F133" i="57"/>
  <c r="D9" i="62" s="1"/>
  <c r="F108" i="57"/>
  <c r="D7" i="62" s="1"/>
  <c r="V11" i="61"/>
  <c r="V16" i="61" s="1"/>
  <c r="O11" i="61"/>
  <c r="G32" i="57"/>
  <c r="G93" i="57" s="1"/>
  <c r="E86" i="22"/>
  <c r="D86" i="22"/>
  <c r="G86" i="22"/>
  <c r="F10" i="62"/>
  <c r="F86" i="22"/>
  <c r="B43" i="21" l="1"/>
  <c r="C35" i="21"/>
  <c r="F32" i="48"/>
  <c r="G32" i="48"/>
  <c r="G23" i="22"/>
  <c r="C31" i="21"/>
  <c r="C16" i="68"/>
  <c r="A109" i="81"/>
  <c r="A27" i="53" s="1"/>
  <c r="A30" i="72"/>
  <c r="A54" i="72" s="1"/>
  <c r="A115" i="72" s="1"/>
  <c r="A21" i="72"/>
  <c r="A45" i="72" s="1"/>
  <c r="A87" i="72" s="1"/>
  <c r="A100" i="81"/>
  <c r="B32" i="21"/>
  <c r="F5" i="62"/>
  <c r="E32" i="48"/>
  <c r="G31" i="48"/>
  <c r="G38" i="48"/>
  <c r="G33" i="48"/>
  <c r="G52" i="48"/>
  <c r="G56" i="48" s="1"/>
  <c r="G36" i="48"/>
  <c r="G29" i="48"/>
  <c r="H23" i="48"/>
  <c r="H28" i="48" s="1"/>
  <c r="G37" i="48"/>
  <c r="E30" i="53"/>
  <c r="E76" i="53" s="1"/>
  <c r="E113" i="81"/>
  <c r="C43" i="48"/>
  <c r="H43" i="48" s="1"/>
  <c r="C37" i="22"/>
  <c r="F28" i="48"/>
  <c r="G28" i="48"/>
  <c r="E244" i="53"/>
  <c r="F244" i="53"/>
  <c r="F181" i="55"/>
  <c r="C157" i="29"/>
  <c r="C142" i="29"/>
  <c r="C127" i="29"/>
  <c r="C172" i="29"/>
  <c r="C34" i="29"/>
  <c r="B33" i="21"/>
  <c r="F167" i="84"/>
  <c r="F168" i="84"/>
  <c r="E43" i="48"/>
  <c r="F43" i="48"/>
  <c r="F49" i="48" s="1"/>
  <c r="G43" i="48"/>
  <c r="F17" i="81"/>
  <c r="H17" i="81" s="1"/>
  <c r="B95" i="81"/>
  <c r="B104" i="81"/>
  <c r="F27" i="81"/>
  <c r="H27" i="81" s="1"/>
  <c r="B20" i="21"/>
  <c r="E51" i="61"/>
  <c r="D45" i="42"/>
  <c r="D47" i="42" s="1"/>
  <c r="A57" i="53"/>
  <c r="A117" i="53"/>
  <c r="A176" i="53" s="1"/>
  <c r="F20" i="81"/>
  <c r="H20" i="81" s="1"/>
  <c r="B98" i="81"/>
  <c r="F16" i="81"/>
  <c r="H16" i="81" s="1"/>
  <c r="B94" i="81"/>
  <c r="B101" i="81"/>
  <c r="F24" i="81"/>
  <c r="H24" i="81" s="1"/>
  <c r="B82" i="81"/>
  <c r="B57" i="81"/>
  <c r="H21" i="22"/>
  <c r="H17" i="22"/>
  <c r="H22" i="22"/>
  <c r="H18" i="22"/>
  <c r="H19" i="22"/>
  <c r="H20" i="22"/>
  <c r="I4" i="22"/>
  <c r="H16" i="22"/>
  <c r="H15" i="22"/>
  <c r="H13" i="22"/>
  <c r="H11" i="22"/>
  <c r="H8" i="22"/>
  <c r="H14" i="22"/>
  <c r="H10" i="22"/>
  <c r="H12" i="22"/>
  <c r="H9" i="22"/>
  <c r="G149" i="84"/>
  <c r="G168" i="84" s="1"/>
  <c r="F180" i="84"/>
  <c r="F179" i="84"/>
  <c r="H181" i="55"/>
  <c r="H109" i="53"/>
  <c r="G182" i="53"/>
  <c r="G191" i="53"/>
  <c r="G214" i="53"/>
  <c r="G239" i="53"/>
  <c r="G238" i="53"/>
  <c r="G137" i="53"/>
  <c r="G236" i="53"/>
  <c r="G237" i="53"/>
  <c r="C10" i="21"/>
  <c r="F38" i="61"/>
  <c r="C30" i="21"/>
  <c r="A69" i="53"/>
  <c r="A129" i="53"/>
  <c r="A188" i="53" s="1"/>
  <c r="A61" i="53"/>
  <c r="A121" i="53"/>
  <c r="A180" i="53" s="1"/>
  <c r="A116" i="53"/>
  <c r="A175" i="53" s="1"/>
  <c r="A56" i="53"/>
  <c r="A64" i="53"/>
  <c r="A124" i="53"/>
  <c r="A183" i="53" s="1"/>
  <c r="G196" i="53"/>
  <c r="F21" i="81"/>
  <c r="H21" i="81" s="1"/>
  <c r="B99" i="81"/>
  <c r="B102" i="81"/>
  <c r="F25" i="81"/>
  <c r="H25" i="81" s="1"/>
  <c r="D10" i="42"/>
  <c r="F21" i="42" s="1"/>
  <c r="F23" i="42" s="1"/>
  <c r="E9" i="42"/>
  <c r="A134" i="53"/>
  <c r="A193" i="53" s="1"/>
  <c r="A74" i="53"/>
  <c r="C42" i="83"/>
  <c r="B66" i="83"/>
  <c r="C66" i="83" s="1"/>
  <c r="F19" i="81"/>
  <c r="H19" i="81" s="1"/>
  <c r="B97" i="81"/>
  <c r="F15" i="81"/>
  <c r="H15" i="81" s="1"/>
  <c r="B93" i="81"/>
  <c r="F29" i="81"/>
  <c r="H29" i="81" s="1"/>
  <c r="B106" i="81"/>
  <c r="B105" i="81"/>
  <c r="F28" i="81"/>
  <c r="H28" i="81" s="1"/>
  <c r="C24" i="53"/>
  <c r="C70" i="53" s="1"/>
  <c r="C107" i="81"/>
  <c r="J249" i="55"/>
  <c r="J250" i="55"/>
  <c r="J230" i="55"/>
  <c r="J264" i="55"/>
  <c r="J271" i="55" s="1"/>
  <c r="J198" i="55"/>
  <c r="E34" i="42"/>
  <c r="A130" i="53"/>
  <c r="A189" i="53" s="1"/>
  <c r="A70" i="53"/>
  <c r="D35" i="81"/>
  <c r="F35" i="81" s="1"/>
  <c r="H35" i="81" s="1"/>
  <c r="D36" i="81"/>
  <c r="D34" i="81"/>
  <c r="D33" i="81"/>
  <c r="A95" i="81"/>
  <c r="A12" i="53" s="1"/>
  <c r="A16" i="72"/>
  <c r="A40" i="72" s="1"/>
  <c r="A69" i="72" s="1"/>
  <c r="A126" i="53"/>
  <c r="A185" i="53" s="1"/>
  <c r="A66" i="53"/>
  <c r="F22" i="81"/>
  <c r="H22" i="81" s="1"/>
  <c r="B100" i="81"/>
  <c r="C100" i="81" s="1"/>
  <c r="D100" i="81" s="1"/>
  <c r="E100" i="81" s="1"/>
  <c r="F100" i="81" s="1"/>
  <c r="G100" i="81" s="1"/>
  <c r="H100" i="81" s="1"/>
  <c r="F18" i="81"/>
  <c r="H18" i="81" s="1"/>
  <c r="B96" i="81"/>
  <c r="F14" i="81"/>
  <c r="H14" i="81" s="1"/>
  <c r="B92" i="81"/>
  <c r="K14" i="81"/>
  <c r="M14" i="81"/>
  <c r="J14" i="81"/>
  <c r="L14" i="81"/>
  <c r="N14" i="81"/>
  <c r="B103" i="81"/>
  <c r="F26" i="81"/>
  <c r="H26" i="81" s="1"/>
  <c r="F31" i="81"/>
  <c r="H31" i="81" s="1"/>
  <c r="B108" i="81"/>
  <c r="E44" i="48"/>
  <c r="F44" i="48"/>
  <c r="G44" i="48"/>
  <c r="H44" i="48"/>
  <c r="E30" i="48"/>
  <c r="E39" i="48" s="1"/>
  <c r="G30" i="48"/>
  <c r="F30" i="48"/>
  <c r="G181" i="55"/>
  <c r="J181" i="55"/>
  <c r="I181" i="55"/>
  <c r="G17" i="42"/>
  <c r="F27" i="42"/>
  <c r="F28" i="42"/>
  <c r="F29" i="42"/>
  <c r="F37" i="42"/>
  <c r="F43" i="42" s="1"/>
  <c r="A55" i="53"/>
  <c r="A115" i="53"/>
  <c r="A174" i="53" s="1"/>
  <c r="A65" i="53"/>
  <c r="A125" i="53"/>
  <c r="A184" i="53" s="1"/>
  <c r="A119" i="53"/>
  <c r="A178" i="53" s="1"/>
  <c r="A59" i="53"/>
  <c r="A68" i="53"/>
  <c r="A128" i="53"/>
  <c r="A187" i="53" s="1"/>
  <c r="A122" i="53"/>
  <c r="A181" i="53" s="1"/>
  <c r="A62" i="53"/>
  <c r="F40" i="84"/>
  <c r="E41" i="84"/>
  <c r="A146" i="53"/>
  <c r="A205" i="53" s="1"/>
  <c r="A87" i="53"/>
  <c r="A145" i="53"/>
  <c r="A204" i="53" s="1"/>
  <c r="A38" i="53"/>
  <c r="A18" i="84"/>
  <c r="A49" i="84" s="1"/>
  <c r="A87" i="84" s="1"/>
  <c r="A36" i="53"/>
  <c r="A16" i="84"/>
  <c r="A47" i="84" s="1"/>
  <c r="A79" i="84" s="1"/>
  <c r="A91" i="53"/>
  <c r="A151" i="53"/>
  <c r="A95" i="53"/>
  <c r="A155" i="53"/>
  <c r="A213" i="53" s="1"/>
  <c r="A92" i="53"/>
  <c r="A152" i="53"/>
  <c r="A210" i="53" s="1"/>
  <c r="A154" i="53"/>
  <c r="A212" i="53" s="1"/>
  <c r="A94" i="53"/>
  <c r="A153" i="53"/>
  <c r="A211" i="53" s="1"/>
  <c r="A93" i="53"/>
  <c r="A148" i="53"/>
  <c r="A207" i="53" s="1"/>
  <c r="A88" i="53"/>
  <c r="A149" i="53"/>
  <c r="A208" i="53" s="1"/>
  <c r="A89" i="53"/>
  <c r="A90" i="53"/>
  <c r="A150" i="53"/>
  <c r="A209" i="53" s="1"/>
  <c r="A140" i="53"/>
  <c r="A199" i="53" s="1"/>
  <c r="A80" i="53"/>
  <c r="A139" i="53"/>
  <c r="A198" i="53" s="1"/>
  <c r="A79" i="53"/>
  <c r="A81" i="53"/>
  <c r="A141" i="53"/>
  <c r="A200" i="53" s="1"/>
  <c r="F16" i="83"/>
  <c r="H16" i="83" s="1"/>
  <c r="C41" i="53"/>
  <c r="C87" i="53" s="1"/>
  <c r="F20" i="83"/>
  <c r="H20" i="83" s="1"/>
  <c r="B50" i="83"/>
  <c r="F33" i="83"/>
  <c r="H33" i="83" s="1"/>
  <c r="F15" i="83"/>
  <c r="H15" i="83" s="1"/>
  <c r="C33" i="53"/>
  <c r="C79" i="53" s="1"/>
  <c r="F17" i="83"/>
  <c r="H17" i="83" s="1"/>
  <c r="C23" i="83"/>
  <c r="F35" i="83"/>
  <c r="H35" i="83" s="1"/>
  <c r="F34" i="83"/>
  <c r="H34" i="83" s="1"/>
  <c r="F19" i="83"/>
  <c r="H19" i="83" s="1"/>
  <c r="F18" i="83"/>
  <c r="H18" i="83" s="1"/>
  <c r="D31" i="83"/>
  <c r="D30" i="83"/>
  <c r="D32" i="83"/>
  <c r="D29" i="83"/>
  <c r="F21" i="83"/>
  <c r="H21" i="83" s="1"/>
  <c r="C18" i="68"/>
  <c r="F8" i="62"/>
  <c r="C20" i="68"/>
  <c r="C49" i="22"/>
  <c r="F7" i="62"/>
  <c r="F9" i="62"/>
  <c r="C55" i="22"/>
  <c r="F56" i="22" s="1"/>
  <c r="C61" i="22"/>
  <c r="C19" i="68"/>
  <c r="D6" i="62"/>
  <c r="D97" i="29"/>
  <c r="D12" i="29"/>
  <c r="C38" i="22"/>
  <c r="G38" i="22"/>
  <c r="F38" i="22"/>
  <c r="E38" i="22"/>
  <c r="O16" i="61"/>
  <c r="P11" i="61"/>
  <c r="E43" i="21"/>
  <c r="F87" i="22"/>
  <c r="F43" i="21"/>
  <c r="G87" i="22"/>
  <c r="D50" i="22"/>
  <c r="C43" i="21"/>
  <c r="D87" i="22"/>
  <c r="D43" i="21"/>
  <c r="E87" i="22"/>
  <c r="C61" i="29" l="1"/>
  <c r="B18" i="69"/>
  <c r="B36" i="21"/>
  <c r="C134" i="29" s="1"/>
  <c r="D35" i="21"/>
  <c r="F39" i="48"/>
  <c r="D31" i="21"/>
  <c r="K37" i="22"/>
  <c r="K38" i="22" s="1"/>
  <c r="K39" i="22" s="1"/>
  <c r="F6" i="62"/>
  <c r="H36" i="48"/>
  <c r="H52" i="48"/>
  <c r="H56" i="48" s="1"/>
  <c r="H35" i="48"/>
  <c r="H31" i="48"/>
  <c r="I23" i="48"/>
  <c r="H34" i="48"/>
  <c r="H29" i="48"/>
  <c r="H37" i="48"/>
  <c r="H33" i="48"/>
  <c r="H38" i="48"/>
  <c r="I38" i="22"/>
  <c r="H30" i="48"/>
  <c r="F113" i="81"/>
  <c r="F30" i="53"/>
  <c r="F76" i="53" s="1"/>
  <c r="A133" i="53"/>
  <c r="A192" i="53" s="1"/>
  <c r="A73" i="53"/>
  <c r="H32" i="48"/>
  <c r="H38" i="22"/>
  <c r="D38" i="22"/>
  <c r="G39" i="48"/>
  <c r="F136" i="53"/>
  <c r="F195" i="53"/>
  <c r="B13" i="84"/>
  <c r="D32" i="21"/>
  <c r="C32" i="21"/>
  <c r="C36" i="21" s="1"/>
  <c r="F34" i="42"/>
  <c r="B11" i="21"/>
  <c r="D30" i="21"/>
  <c r="C20" i="53"/>
  <c r="C66" i="53" s="1"/>
  <c r="C103" i="81"/>
  <c r="C13" i="53"/>
  <c r="C59" i="53" s="1"/>
  <c r="C96" i="81"/>
  <c r="B61" i="81"/>
  <c r="B86" i="81"/>
  <c r="C86" i="81" s="1"/>
  <c r="D86" i="81" s="1"/>
  <c r="E86" i="81" s="1"/>
  <c r="F86" i="81" s="1"/>
  <c r="G86" i="81" s="1"/>
  <c r="H86" i="81" s="1"/>
  <c r="B43" i="81"/>
  <c r="B68" i="81"/>
  <c r="B49" i="81"/>
  <c r="B74" i="81"/>
  <c r="B51" i="81"/>
  <c r="B76" i="81"/>
  <c r="C15" i="53"/>
  <c r="C61" i="53" s="1"/>
  <c r="C98" i="81"/>
  <c r="C21" i="53"/>
  <c r="C67" i="53" s="1"/>
  <c r="C104" i="81"/>
  <c r="F57" i="48"/>
  <c r="C21" i="21"/>
  <c r="B68" i="83"/>
  <c r="C68" i="83" s="1"/>
  <c r="D68" i="83" s="1"/>
  <c r="C25" i="53"/>
  <c r="C71" i="53" s="1"/>
  <c r="C108" i="81"/>
  <c r="B71" i="81"/>
  <c r="B46" i="81"/>
  <c r="F33" i="81"/>
  <c r="H33" i="81" s="1"/>
  <c r="B109" i="81"/>
  <c r="C109" i="81" s="1"/>
  <c r="D109" i="81" s="1"/>
  <c r="E109" i="81" s="1"/>
  <c r="F109" i="81" s="1"/>
  <c r="G109" i="81" s="1"/>
  <c r="H109" i="81" s="1"/>
  <c r="C20" i="21"/>
  <c r="F51" i="61"/>
  <c r="E45" i="42"/>
  <c r="E47" i="42" s="1"/>
  <c r="H28" i="21"/>
  <c r="D107" i="81"/>
  <c r="D24" i="53"/>
  <c r="D70" i="53" s="1"/>
  <c r="C23" i="53"/>
  <c r="C69" i="53" s="1"/>
  <c r="C106" i="81"/>
  <c r="C14" i="53"/>
  <c r="C60" i="53" s="1"/>
  <c r="C97" i="81"/>
  <c r="B52" i="81"/>
  <c r="B77" i="81"/>
  <c r="I109" i="53"/>
  <c r="H182" i="53"/>
  <c r="H214" i="53"/>
  <c r="H191" i="53"/>
  <c r="H236" i="53"/>
  <c r="H237" i="53"/>
  <c r="H137" i="53"/>
  <c r="H238" i="53"/>
  <c r="H239" i="53"/>
  <c r="H196" i="53"/>
  <c r="H149" i="84"/>
  <c r="H168" i="84" s="1"/>
  <c r="G180" i="84"/>
  <c r="G179" i="84"/>
  <c r="C18" i="53"/>
  <c r="C64" i="53" s="1"/>
  <c r="C101" i="81"/>
  <c r="B48" i="81"/>
  <c r="B73" i="81"/>
  <c r="C12" i="53"/>
  <c r="C58" i="53" s="1"/>
  <c r="C95" i="81"/>
  <c r="G29" i="42"/>
  <c r="H17" i="42"/>
  <c r="G27" i="42"/>
  <c r="G28" i="42"/>
  <c r="G37" i="42"/>
  <c r="G43" i="42" s="1"/>
  <c r="C11" i="21"/>
  <c r="F59" i="48"/>
  <c r="A118" i="53"/>
  <c r="A177" i="53" s="1"/>
  <c r="A58" i="53"/>
  <c r="C22" i="53"/>
  <c r="C68" i="53" s="1"/>
  <c r="C105" i="81"/>
  <c r="G38" i="61"/>
  <c r="D10" i="21"/>
  <c r="I56" i="22"/>
  <c r="B58" i="81"/>
  <c r="B83" i="81"/>
  <c r="C9" i="53"/>
  <c r="C55" i="53" s="1"/>
  <c r="C92" i="81"/>
  <c r="F34" i="81"/>
  <c r="H34" i="81" s="1"/>
  <c r="B111" i="81"/>
  <c r="B110" i="81"/>
  <c r="D130" i="53"/>
  <c r="D189" i="53"/>
  <c r="B56" i="81"/>
  <c r="B81" i="81"/>
  <c r="B47" i="81"/>
  <c r="B72" i="81"/>
  <c r="C19" i="53"/>
  <c r="C65" i="53" s="1"/>
  <c r="C102" i="81"/>
  <c r="D157" i="29"/>
  <c r="D142" i="29"/>
  <c r="D127" i="29"/>
  <c r="D34" i="29"/>
  <c r="D172" i="29"/>
  <c r="G244" i="53"/>
  <c r="H23" i="22"/>
  <c r="B26" i="55"/>
  <c r="B78" i="55" s="1"/>
  <c r="C57" i="81"/>
  <c r="C11" i="53"/>
  <c r="C57" i="53" s="1"/>
  <c r="C94" i="81"/>
  <c r="G167" i="84"/>
  <c r="B45" i="81"/>
  <c r="B70" i="81"/>
  <c r="H49" i="48"/>
  <c r="E49" i="48"/>
  <c r="B44" i="84"/>
  <c r="B67" i="84" s="1"/>
  <c r="B67" i="83"/>
  <c r="C67" i="83" s="1"/>
  <c r="D67" i="83" s="1"/>
  <c r="D20" i="21"/>
  <c r="G51" i="61"/>
  <c r="F45" i="42"/>
  <c r="F47" i="42" s="1"/>
  <c r="D11" i="21"/>
  <c r="B53" i="81"/>
  <c r="B78" i="81"/>
  <c r="B67" i="81"/>
  <c r="B42" i="81"/>
  <c r="B50" i="81"/>
  <c r="B75" i="81"/>
  <c r="F36" i="81"/>
  <c r="H36" i="81" s="1"/>
  <c r="B112" i="81"/>
  <c r="B55" i="81"/>
  <c r="B80" i="81"/>
  <c r="C10" i="53"/>
  <c r="C56" i="53" s="1"/>
  <c r="C93" i="81"/>
  <c r="D66" i="83"/>
  <c r="C13" i="84"/>
  <c r="E10" i="42"/>
  <c r="G21" i="42" s="1"/>
  <c r="G23" i="42" s="1"/>
  <c r="F9" i="42"/>
  <c r="C16" i="53"/>
  <c r="C62" i="53" s="1"/>
  <c r="C99" i="81"/>
  <c r="F184" i="84"/>
  <c r="J4" i="22"/>
  <c r="I22" i="22"/>
  <c r="I18" i="22"/>
  <c r="I19" i="22"/>
  <c r="I20" i="22"/>
  <c r="I16" i="22"/>
  <c r="I21" i="22"/>
  <c r="I15" i="22"/>
  <c r="I13" i="22"/>
  <c r="I11" i="22"/>
  <c r="I8" i="22"/>
  <c r="I17" i="22"/>
  <c r="I14" i="22"/>
  <c r="I12" i="22"/>
  <c r="I10" i="22"/>
  <c r="I9" i="22"/>
  <c r="B28" i="72"/>
  <c r="B52" i="72" s="1"/>
  <c r="C82" i="81"/>
  <c r="B44" i="81"/>
  <c r="B69" i="81"/>
  <c r="B54" i="81"/>
  <c r="B79" i="81"/>
  <c r="G49" i="48"/>
  <c r="F41" i="84"/>
  <c r="G40" i="84"/>
  <c r="A144" i="53"/>
  <c r="A203" i="53" s="1"/>
  <c r="A84" i="53"/>
  <c r="A142" i="53"/>
  <c r="A201" i="53" s="1"/>
  <c r="A82" i="53"/>
  <c r="C35" i="53"/>
  <c r="C81" i="53" s="1"/>
  <c r="D27" i="83"/>
  <c r="D25" i="83"/>
  <c r="D24" i="83"/>
  <c r="D26" i="83"/>
  <c r="F31" i="83"/>
  <c r="H31" i="83" s="1"/>
  <c r="B47" i="83"/>
  <c r="B35" i="55"/>
  <c r="B59" i="83"/>
  <c r="C50" i="53"/>
  <c r="C95" i="53" s="1"/>
  <c r="C37" i="53"/>
  <c r="C83" i="53" s="1"/>
  <c r="C48" i="53"/>
  <c r="C93" i="53" s="1"/>
  <c r="C34" i="53"/>
  <c r="C80" i="53" s="1"/>
  <c r="F30" i="83"/>
  <c r="H30" i="83" s="1"/>
  <c r="B62" i="83"/>
  <c r="C36" i="53"/>
  <c r="C82" i="53" s="1"/>
  <c r="B45" i="83"/>
  <c r="B48" i="83"/>
  <c r="F32" i="83"/>
  <c r="H32" i="83" s="1"/>
  <c r="D206" i="53"/>
  <c r="D147" i="53"/>
  <c r="B46" i="83"/>
  <c r="C47" i="53"/>
  <c r="C92" i="53" s="1"/>
  <c r="C40" i="53"/>
  <c r="C86" i="53" s="1"/>
  <c r="C38" i="53"/>
  <c r="C84" i="53" s="1"/>
  <c r="D33" i="53"/>
  <c r="D79" i="53" s="1"/>
  <c r="B21" i="84"/>
  <c r="B52" i="84" s="1"/>
  <c r="B49" i="83"/>
  <c r="C49" i="53"/>
  <c r="C94" i="53" s="1"/>
  <c r="D139" i="53"/>
  <c r="D198" i="53"/>
  <c r="C50" i="83"/>
  <c r="B43" i="55"/>
  <c r="B95" i="55" s="1"/>
  <c r="F29" i="83"/>
  <c r="H29" i="83" s="1"/>
  <c r="B60" i="83"/>
  <c r="B61" i="83"/>
  <c r="C39" i="53"/>
  <c r="C85" i="53" s="1"/>
  <c r="K49" i="22"/>
  <c r="K50" i="22" s="1"/>
  <c r="K52" i="22" s="1"/>
  <c r="C17" i="68"/>
  <c r="H50" i="22"/>
  <c r="G56" i="22"/>
  <c r="I50" i="22"/>
  <c r="E50" i="22"/>
  <c r="C50" i="22"/>
  <c r="C52" i="22" s="1"/>
  <c r="C56" i="22"/>
  <c r="C58" i="22" s="1"/>
  <c r="H56" i="22"/>
  <c r="K55" i="22"/>
  <c r="K56" i="22" s="1"/>
  <c r="K57" i="22" s="1"/>
  <c r="G50" i="22"/>
  <c r="F50" i="22"/>
  <c r="D56" i="22"/>
  <c r="C39" i="22"/>
  <c r="C43" i="22"/>
  <c r="K43" i="22" s="1"/>
  <c r="E56" i="22"/>
  <c r="E62" i="22"/>
  <c r="H62" i="22"/>
  <c r="K61" i="22"/>
  <c r="G62" i="22"/>
  <c r="F62" i="22"/>
  <c r="D62" i="22"/>
  <c r="C62" i="22"/>
  <c r="I62" i="22"/>
  <c r="E61" i="29"/>
  <c r="F97" i="29"/>
  <c r="F12" i="29"/>
  <c r="C18" i="69"/>
  <c r="D18" i="69" s="1"/>
  <c r="E18" i="69" s="1"/>
  <c r="F18" i="69" s="1"/>
  <c r="G18" i="69" s="1"/>
  <c r="H18" i="69" s="1"/>
  <c r="H97" i="29"/>
  <c r="G61" i="29"/>
  <c r="H12" i="29"/>
  <c r="E97" i="29"/>
  <c r="E12" i="29"/>
  <c r="D61" i="29"/>
  <c r="Q11" i="61"/>
  <c r="P16" i="61"/>
  <c r="G97" i="29"/>
  <c r="G12" i="29"/>
  <c r="F61" i="29"/>
  <c r="C40" i="22"/>
  <c r="C164" i="29" l="1"/>
  <c r="C179" i="29"/>
  <c r="C149" i="29"/>
  <c r="C24" i="68"/>
  <c r="H39" i="48"/>
  <c r="H167" i="84"/>
  <c r="I34" i="48"/>
  <c r="I52" i="48"/>
  <c r="I56" i="48" s="1"/>
  <c r="I29" i="48"/>
  <c r="I33" i="48"/>
  <c r="I37" i="48"/>
  <c r="I28" i="48"/>
  <c r="I39" i="48" s="1"/>
  <c r="I38" i="48"/>
  <c r="I32" i="48"/>
  <c r="I31" i="48"/>
  <c r="I44" i="48"/>
  <c r="I30" i="48"/>
  <c r="I36" i="48"/>
  <c r="I35" i="48"/>
  <c r="J23" i="48"/>
  <c r="E31" i="21"/>
  <c r="G136" i="53"/>
  <c r="G195" i="53"/>
  <c r="G30" i="53"/>
  <c r="G76" i="53" s="1"/>
  <c r="G113" i="81"/>
  <c r="I43" i="48"/>
  <c r="I49" i="48" s="1"/>
  <c r="F12" i="62"/>
  <c r="E19" i="62" s="1"/>
  <c r="C44" i="84"/>
  <c r="C67" i="84" s="1"/>
  <c r="E154" i="84" s="1"/>
  <c r="D179" i="29"/>
  <c r="D149" i="29"/>
  <c r="D164" i="29"/>
  <c r="D134" i="29"/>
  <c r="D24" i="68"/>
  <c r="D163" i="84"/>
  <c r="D154" i="84"/>
  <c r="G184" i="84"/>
  <c r="E33" i="21" s="1"/>
  <c r="B23" i="55"/>
  <c r="B75" i="55" s="1"/>
  <c r="C54" i="81"/>
  <c r="B21" i="72"/>
  <c r="B45" i="72" s="1"/>
  <c r="C75" i="81"/>
  <c r="B14" i="55"/>
  <c r="B66" i="55" s="1"/>
  <c r="C45" i="81"/>
  <c r="E30" i="21"/>
  <c r="D124" i="53"/>
  <c r="D183" i="53"/>
  <c r="D106" i="81"/>
  <c r="D23" i="53"/>
  <c r="D69" i="53" s="1"/>
  <c r="B15" i="55"/>
  <c r="B67" i="55" s="1"/>
  <c r="C46" i="81"/>
  <c r="D127" i="53"/>
  <c r="D186" i="53"/>
  <c r="B20" i="55"/>
  <c r="B72" i="55" s="1"/>
  <c r="C51" i="81"/>
  <c r="B14" i="72"/>
  <c r="B38" i="72" s="1"/>
  <c r="C68" i="81"/>
  <c r="D96" i="81"/>
  <c r="D13" i="53"/>
  <c r="D59" i="53" s="1"/>
  <c r="B15" i="72"/>
  <c r="B39" i="72" s="1"/>
  <c r="C69" i="81"/>
  <c r="D33" i="21"/>
  <c r="D36" i="21" s="1"/>
  <c r="D122" i="53"/>
  <c r="D181" i="53"/>
  <c r="E66" i="83"/>
  <c r="D13" i="84"/>
  <c r="B24" i="55"/>
  <c r="B76" i="55" s="1"/>
  <c r="C55" i="81"/>
  <c r="B19" i="55"/>
  <c r="B71" i="55" s="1"/>
  <c r="C50" i="81"/>
  <c r="B22" i="55"/>
  <c r="B74" i="55" s="1"/>
  <c r="C53" i="81"/>
  <c r="B21" i="21"/>
  <c r="E57" i="48"/>
  <c r="E59" i="48" s="1"/>
  <c r="B124" i="55"/>
  <c r="D175" i="55" s="1"/>
  <c r="D223" i="55"/>
  <c r="D102" i="81"/>
  <c r="D19" i="53"/>
  <c r="D65" i="53" s="1"/>
  <c r="B27" i="72"/>
  <c r="B51" i="72" s="1"/>
  <c r="C81" i="81"/>
  <c r="C27" i="53"/>
  <c r="C73" i="53" s="1"/>
  <c r="C110" i="81"/>
  <c r="D115" i="53"/>
  <c r="D174" i="53"/>
  <c r="B19" i="72"/>
  <c r="B43" i="72" s="1"/>
  <c r="C73" i="81"/>
  <c r="H244" i="53"/>
  <c r="I182" i="53"/>
  <c r="J109" i="53"/>
  <c r="I191" i="53"/>
  <c r="I214" i="53"/>
  <c r="I196" i="53"/>
  <c r="I237" i="53"/>
  <c r="I238" i="53"/>
  <c r="I236" i="53"/>
  <c r="I239" i="53"/>
  <c r="I137" i="53"/>
  <c r="B21" i="55"/>
  <c r="B73" i="55" s="1"/>
  <c r="C52" i="81"/>
  <c r="D129" i="53"/>
  <c r="D188" i="53"/>
  <c r="B17" i="72"/>
  <c r="B41" i="72" s="1"/>
  <c r="C71" i="81"/>
  <c r="D98" i="81"/>
  <c r="D15" i="53"/>
  <c r="D61" i="53" s="1"/>
  <c r="B12" i="55"/>
  <c r="B64" i="55" s="1"/>
  <c r="C43" i="81"/>
  <c r="D119" i="53"/>
  <c r="D178" i="53"/>
  <c r="J19" i="22"/>
  <c r="K4" i="22"/>
  <c r="J20" i="22"/>
  <c r="J16" i="22"/>
  <c r="J21" i="22"/>
  <c r="J17" i="22"/>
  <c r="J22" i="22"/>
  <c r="J18" i="22"/>
  <c r="J14" i="22"/>
  <c r="J12" i="22"/>
  <c r="J10" i="22"/>
  <c r="J9" i="22"/>
  <c r="J15" i="22"/>
  <c r="J11" i="22"/>
  <c r="J13" i="22"/>
  <c r="J8" i="22"/>
  <c r="D99" i="81"/>
  <c r="D16" i="53"/>
  <c r="D62" i="53" s="1"/>
  <c r="B26" i="72"/>
  <c r="B50" i="72" s="1"/>
  <c r="C80" i="81"/>
  <c r="B24" i="72"/>
  <c r="B48" i="72" s="1"/>
  <c r="C78" i="81"/>
  <c r="C26" i="55"/>
  <c r="C78" i="55" s="1"/>
  <c r="D57" i="81"/>
  <c r="B16" i="55"/>
  <c r="B68" i="55" s="1"/>
  <c r="C47" i="81"/>
  <c r="D92" i="81"/>
  <c r="D9" i="53"/>
  <c r="D55" i="53" s="1"/>
  <c r="D118" i="53"/>
  <c r="D177" i="53"/>
  <c r="D21" i="21"/>
  <c r="G57" i="48"/>
  <c r="G59" i="48" s="1"/>
  <c r="B13" i="55"/>
  <c r="B65" i="55" s="1"/>
  <c r="C44" i="81"/>
  <c r="I23" i="22"/>
  <c r="F10" i="42"/>
  <c r="H21" i="42" s="1"/>
  <c r="H23" i="42" s="1"/>
  <c r="G9" i="42"/>
  <c r="D93" i="81"/>
  <c r="D10" i="53"/>
  <c r="D56" i="53" s="1"/>
  <c r="C29" i="53"/>
  <c r="C75" i="53" s="1"/>
  <c r="C112" i="81"/>
  <c r="B11" i="55"/>
  <c r="C42" i="81"/>
  <c r="E21" i="21"/>
  <c r="H57" i="48"/>
  <c r="H59" i="48" s="1"/>
  <c r="D94" i="81"/>
  <c r="D11" i="53"/>
  <c r="D57" i="53" s="1"/>
  <c r="E35" i="21"/>
  <c r="D184" i="53"/>
  <c r="D125" i="53"/>
  <c r="B25" i="55"/>
  <c r="B77" i="55" s="1"/>
  <c r="C56" i="81"/>
  <c r="C28" i="53"/>
  <c r="C74" i="53" s="1"/>
  <c r="C111" i="81"/>
  <c r="B29" i="72"/>
  <c r="B53" i="72" s="1"/>
  <c r="C83" i="81"/>
  <c r="D173" i="29"/>
  <c r="D158" i="29"/>
  <c r="D143" i="29"/>
  <c r="D128" i="29"/>
  <c r="D35" i="29"/>
  <c r="G34" i="42"/>
  <c r="F21" i="21"/>
  <c r="I57" i="48"/>
  <c r="I59" i="48" s="1"/>
  <c r="B17" i="55"/>
  <c r="B69" i="55" s="1"/>
  <c r="C48" i="81"/>
  <c r="D97" i="81"/>
  <c r="D14" i="53"/>
  <c r="D60" i="53" s="1"/>
  <c r="E189" i="53"/>
  <c r="E130" i="53"/>
  <c r="D108" i="81"/>
  <c r="D25" i="53"/>
  <c r="D71" i="53" s="1"/>
  <c r="D121" i="53"/>
  <c r="D180" i="53"/>
  <c r="B20" i="72"/>
  <c r="B44" i="72" s="1"/>
  <c r="C74" i="81"/>
  <c r="D103" i="81"/>
  <c r="D20" i="53"/>
  <c r="D66" i="53" s="1"/>
  <c r="E172" i="29"/>
  <c r="E157" i="29"/>
  <c r="E142" i="29"/>
  <c r="E127" i="29"/>
  <c r="E34" i="29"/>
  <c r="D128" i="53"/>
  <c r="D187" i="53"/>
  <c r="B23" i="72"/>
  <c r="B47" i="72" s="1"/>
  <c r="C77" i="81"/>
  <c r="B25" i="72"/>
  <c r="B49" i="72" s="1"/>
  <c r="C79" i="81"/>
  <c r="D82" i="81"/>
  <c r="C28" i="72"/>
  <c r="C52" i="72" s="1"/>
  <c r="H38" i="61"/>
  <c r="E10" i="21"/>
  <c r="D116" i="53"/>
  <c r="D175" i="53"/>
  <c r="B62" i="81"/>
  <c r="B87" i="81"/>
  <c r="C87" i="81" s="1"/>
  <c r="D87" i="81" s="1"/>
  <c r="E87" i="81" s="1"/>
  <c r="F87" i="81" s="1"/>
  <c r="G87" i="81" s="1"/>
  <c r="H87" i="81" s="1"/>
  <c r="B13" i="72"/>
  <c r="C67" i="81"/>
  <c r="E35" i="29"/>
  <c r="E173" i="29"/>
  <c r="E158" i="29"/>
  <c r="E143" i="29"/>
  <c r="E128" i="29"/>
  <c r="B16" i="72"/>
  <c r="B40" i="72" s="1"/>
  <c r="C70" i="81"/>
  <c r="D117" i="53"/>
  <c r="D176" i="53"/>
  <c r="E32" i="21"/>
  <c r="B18" i="72"/>
  <c r="B42" i="72" s="1"/>
  <c r="C72" i="81"/>
  <c r="B60" i="81"/>
  <c r="B85" i="81"/>
  <c r="B27" i="55"/>
  <c r="B79" i="55" s="1"/>
  <c r="C58" i="81"/>
  <c r="D22" i="53"/>
  <c r="D68" i="53" s="1"/>
  <c r="D105" i="81"/>
  <c r="H28" i="42"/>
  <c r="H29" i="42"/>
  <c r="I17" i="42"/>
  <c r="H27" i="42"/>
  <c r="H37" i="42"/>
  <c r="H43" i="42" s="1"/>
  <c r="D95" i="81"/>
  <c r="D12" i="53"/>
  <c r="D58" i="53" s="1"/>
  <c r="D101" i="81"/>
  <c r="D18" i="53"/>
  <c r="D64" i="53" s="1"/>
  <c r="I149" i="84"/>
  <c r="I168" i="84" s="1"/>
  <c r="H179" i="84"/>
  <c r="H180" i="84"/>
  <c r="D179" i="53"/>
  <c r="D120" i="53"/>
  <c r="E107" i="81"/>
  <c r="E24" i="53"/>
  <c r="E70" i="53" s="1"/>
  <c r="B59" i="81"/>
  <c r="B84" i="81"/>
  <c r="D131" i="53"/>
  <c r="D190" i="53"/>
  <c r="D104" i="81"/>
  <c r="D21" i="53"/>
  <c r="D67" i="53" s="1"/>
  <c r="B22" i="72"/>
  <c r="B46" i="72" s="1"/>
  <c r="C76" i="81"/>
  <c r="B18" i="55"/>
  <c r="B70" i="55" s="1"/>
  <c r="C49" i="81"/>
  <c r="B30" i="55"/>
  <c r="B82" i="55" s="1"/>
  <c r="C61" i="81"/>
  <c r="D126" i="53"/>
  <c r="D185" i="53"/>
  <c r="C128" i="29"/>
  <c r="C173" i="29"/>
  <c r="C35" i="29"/>
  <c r="C158" i="29"/>
  <c r="C143" i="29"/>
  <c r="H40" i="84"/>
  <c r="H41" i="84" s="1"/>
  <c r="G41" i="84"/>
  <c r="D41" i="53"/>
  <c r="D87" i="53" s="1"/>
  <c r="E206" i="53" s="1"/>
  <c r="D35" i="53"/>
  <c r="D81" i="53" s="1"/>
  <c r="D141" i="53"/>
  <c r="D200" i="53"/>
  <c r="B15" i="84"/>
  <c r="B46" i="84" s="1"/>
  <c r="B75" i="84" s="1"/>
  <c r="C44" i="83"/>
  <c r="B37" i="55"/>
  <c r="B89" i="55" s="1"/>
  <c r="B16" i="84"/>
  <c r="B47" i="84" s="1"/>
  <c r="D39" i="53"/>
  <c r="D85" i="53" s="1"/>
  <c r="B56" i="83"/>
  <c r="C56" i="83" s="1"/>
  <c r="D56" i="83" s="1"/>
  <c r="E56" i="83" s="1"/>
  <c r="F56" i="83" s="1"/>
  <c r="G56" i="83" s="1"/>
  <c r="H56" i="83" s="1"/>
  <c r="F26" i="83"/>
  <c r="H26" i="83" s="1"/>
  <c r="D145" i="53"/>
  <c r="D204" i="53"/>
  <c r="C21" i="84"/>
  <c r="C52" i="84" s="1"/>
  <c r="B17" i="84"/>
  <c r="B48" i="84" s="1"/>
  <c r="B52" i="55"/>
  <c r="B103" i="55" s="1"/>
  <c r="C60" i="83"/>
  <c r="B141" i="55"/>
  <c r="D193" i="55" s="1"/>
  <c r="D240" i="55"/>
  <c r="D212" i="53"/>
  <c r="D154" i="53"/>
  <c r="D144" i="53"/>
  <c r="D203" i="53"/>
  <c r="D36" i="53"/>
  <c r="D82" i="53" s="1"/>
  <c r="D143" i="53"/>
  <c r="D202" i="53"/>
  <c r="D42" i="83"/>
  <c r="C35" i="55"/>
  <c r="B36" i="55"/>
  <c r="B88" i="55" s="1"/>
  <c r="C43" i="83"/>
  <c r="B35" i="84"/>
  <c r="B63" i="84" s="1"/>
  <c r="C43" i="55"/>
  <c r="C95" i="55" s="1"/>
  <c r="D50" i="83"/>
  <c r="B42" i="55"/>
  <c r="B94" i="55" s="1"/>
  <c r="C49" i="83"/>
  <c r="E198" i="53"/>
  <c r="E139" i="53"/>
  <c r="D40" i="53"/>
  <c r="D86" i="53" s="1"/>
  <c r="B41" i="55"/>
  <c r="B93" i="55" s="1"/>
  <c r="C48" i="83"/>
  <c r="D201" i="53"/>
  <c r="D142" i="53"/>
  <c r="D34" i="53"/>
  <c r="D80" i="53" s="1"/>
  <c r="D50" i="53"/>
  <c r="D95" i="53" s="1"/>
  <c r="B18" i="84"/>
  <c r="B49" i="84" s="1"/>
  <c r="D47" i="53"/>
  <c r="D92" i="53" s="1"/>
  <c r="B54" i="55"/>
  <c r="B105" i="55" s="1"/>
  <c r="C62" i="83"/>
  <c r="B53" i="55"/>
  <c r="B104" i="55" s="1"/>
  <c r="C61" i="83"/>
  <c r="D152" i="53"/>
  <c r="D210" i="53"/>
  <c r="D211" i="53"/>
  <c r="D153" i="53"/>
  <c r="C45" i="53"/>
  <c r="B36" i="84"/>
  <c r="B64" i="84" s="1"/>
  <c r="D49" i="53"/>
  <c r="D94" i="53" s="1"/>
  <c r="D38" i="53"/>
  <c r="D84" i="53" s="1"/>
  <c r="B58" i="83"/>
  <c r="C58" i="83" s="1"/>
  <c r="D58" i="83" s="1"/>
  <c r="E58" i="83" s="1"/>
  <c r="F58" i="83" s="1"/>
  <c r="G58" i="83" s="1"/>
  <c r="H58" i="83" s="1"/>
  <c r="D37" i="53"/>
  <c r="D83" i="53" s="1"/>
  <c r="B87" i="55"/>
  <c r="B14" i="84"/>
  <c r="B39" i="55"/>
  <c r="B91" i="55" s="1"/>
  <c r="C46" i="83"/>
  <c r="B19" i="84"/>
  <c r="B50" i="84" s="1"/>
  <c r="F24" i="83"/>
  <c r="H24" i="83" s="1"/>
  <c r="B20" i="84"/>
  <c r="B51" i="84" s="1"/>
  <c r="E33" i="53"/>
  <c r="E79" i="53" s="1"/>
  <c r="D205" i="53"/>
  <c r="D146" i="53"/>
  <c r="B38" i="55"/>
  <c r="B90" i="55" s="1"/>
  <c r="C45" i="83"/>
  <c r="B37" i="84"/>
  <c r="B65" i="84" s="1"/>
  <c r="D199" i="53"/>
  <c r="D140" i="53"/>
  <c r="D213" i="53"/>
  <c r="D155" i="53"/>
  <c r="B40" i="55"/>
  <c r="B92" i="55" s="1"/>
  <c r="C47" i="83"/>
  <c r="F25" i="83"/>
  <c r="H25" i="83" s="1"/>
  <c r="B55" i="83"/>
  <c r="D48" i="53"/>
  <c r="D93" i="53" s="1"/>
  <c r="B34" i="84"/>
  <c r="B62" i="84" s="1"/>
  <c r="B57" i="83"/>
  <c r="C57" i="83" s="1"/>
  <c r="D57" i="83" s="1"/>
  <c r="E57" i="83" s="1"/>
  <c r="F57" i="83" s="1"/>
  <c r="G57" i="83" s="1"/>
  <c r="H57" i="83" s="1"/>
  <c r="E41" i="53"/>
  <c r="E87" i="53" s="1"/>
  <c r="C46" i="53"/>
  <c r="C91" i="53" s="1"/>
  <c r="D151" i="53" s="1"/>
  <c r="B51" i="55"/>
  <c r="B102" i="55" s="1"/>
  <c r="C59" i="83"/>
  <c r="F27" i="83"/>
  <c r="H27" i="83" s="1"/>
  <c r="C51" i="22"/>
  <c r="D55" i="22"/>
  <c r="H44" i="22"/>
  <c r="C57" i="22"/>
  <c r="D49" i="22"/>
  <c r="C65" i="22"/>
  <c r="D37" i="22"/>
  <c r="D39" i="22"/>
  <c r="D44" i="22"/>
  <c r="E44" i="22"/>
  <c r="F44" i="22"/>
  <c r="G44" i="22"/>
  <c r="C44" i="22"/>
  <c r="C46" i="22" s="1"/>
  <c r="I44" i="22"/>
  <c r="C64" i="22"/>
  <c r="C63" i="22"/>
  <c r="K40" i="22"/>
  <c r="L37" i="22" s="1"/>
  <c r="L38" i="22" s="1"/>
  <c r="K62" i="22"/>
  <c r="K63" i="22" s="1"/>
  <c r="L49" i="22"/>
  <c r="Q16" i="61"/>
  <c r="R11" i="61"/>
  <c r="R16" i="61" s="1"/>
  <c r="K58" i="22"/>
  <c r="L55" i="22" s="1"/>
  <c r="K51" i="22"/>
  <c r="K44" i="22"/>
  <c r="K65" i="22"/>
  <c r="B13" i="69" l="1"/>
  <c r="K45" i="22"/>
  <c r="B34" i="69"/>
  <c r="C34" i="69" s="1"/>
  <c r="D34" i="69" s="1"/>
  <c r="E34" i="69" s="1"/>
  <c r="F34" i="69" s="1"/>
  <c r="G34" i="69" s="1"/>
  <c r="H34" i="69" s="1"/>
  <c r="B39" i="84"/>
  <c r="B12" i="84" s="1"/>
  <c r="F31" i="21"/>
  <c r="J30" i="48"/>
  <c r="J44" i="48"/>
  <c r="J29" i="48"/>
  <c r="J31" i="48"/>
  <c r="J33" i="48"/>
  <c r="J35" i="48"/>
  <c r="J32" i="48"/>
  <c r="J34" i="48"/>
  <c r="J37" i="48"/>
  <c r="J36" i="48"/>
  <c r="K23" i="48"/>
  <c r="J43" i="48"/>
  <c r="J49" i="48" s="1"/>
  <c r="J52" i="48"/>
  <c r="J56" i="48" s="1"/>
  <c r="J38" i="48"/>
  <c r="J28" i="48"/>
  <c r="F11" i="21"/>
  <c r="H30" i="53"/>
  <c r="H76" i="53" s="1"/>
  <c r="H113" i="81"/>
  <c r="I30" i="53" s="1"/>
  <c r="I76" i="53" s="1"/>
  <c r="C9" i="68"/>
  <c r="H195" i="53"/>
  <c r="H136" i="53"/>
  <c r="E11" i="21"/>
  <c r="E163" i="84"/>
  <c r="D44" i="84"/>
  <c r="D67" i="84" s="1"/>
  <c r="F154" i="84" s="1"/>
  <c r="I244" i="53"/>
  <c r="H34" i="42"/>
  <c r="D156" i="84"/>
  <c r="D165" i="84"/>
  <c r="E164" i="29"/>
  <c r="E179" i="29"/>
  <c r="E149" i="29"/>
  <c r="E134" i="29"/>
  <c r="E24" i="68"/>
  <c r="C30" i="55"/>
  <c r="C82" i="55" s="1"/>
  <c r="D61" i="81"/>
  <c r="E105" i="81"/>
  <c r="E22" i="53"/>
  <c r="E68" i="53" s="1"/>
  <c r="C20" i="72"/>
  <c r="C44" i="72" s="1"/>
  <c r="D74" i="81"/>
  <c r="E94" i="81"/>
  <c r="E11" i="53"/>
  <c r="E57" i="53" s="1"/>
  <c r="F35" i="21"/>
  <c r="B114" i="55"/>
  <c r="D165" i="55" s="1"/>
  <c r="D213" i="55"/>
  <c r="D218" i="55"/>
  <c r="B119" i="55"/>
  <c r="D170" i="55" s="1"/>
  <c r="D81" i="81"/>
  <c r="C27" i="72"/>
  <c r="C51" i="72" s="1"/>
  <c r="D50" i="81"/>
  <c r="C19" i="55"/>
  <c r="C71" i="55" s="1"/>
  <c r="E119" i="53"/>
  <c r="E178" i="53"/>
  <c r="D51" i="81"/>
  <c r="C20" i="55"/>
  <c r="C72" i="55" s="1"/>
  <c r="D75" i="81"/>
  <c r="C21" i="72"/>
  <c r="C45" i="72" s="1"/>
  <c r="B45" i="84"/>
  <c r="B71" i="84" s="1"/>
  <c r="B128" i="55"/>
  <c r="D179" i="55" s="1"/>
  <c r="D227" i="55"/>
  <c r="F24" i="53"/>
  <c r="F70" i="53" s="1"/>
  <c r="F107" i="81"/>
  <c r="H184" i="84"/>
  <c r="E177" i="53"/>
  <c r="E118" i="53"/>
  <c r="J17" i="42"/>
  <c r="I27" i="42"/>
  <c r="I28" i="42"/>
  <c r="I29" i="42"/>
  <c r="I37" i="42"/>
  <c r="I43" i="42" s="1"/>
  <c r="E128" i="53"/>
  <c r="E187" i="53"/>
  <c r="B29" i="55"/>
  <c r="B81" i="55" s="1"/>
  <c r="C60" i="81"/>
  <c r="B70" i="72"/>
  <c r="D142" i="72" s="1"/>
  <c r="D155" i="72"/>
  <c r="B71" i="72"/>
  <c r="D77" i="81"/>
  <c r="C23" i="72"/>
  <c r="C47" i="72" s="1"/>
  <c r="E25" i="53"/>
  <c r="E71" i="53" s="1"/>
  <c r="E108" i="81"/>
  <c r="E97" i="81"/>
  <c r="E14" i="53"/>
  <c r="E60" i="53" s="1"/>
  <c r="D83" i="81"/>
  <c r="C29" i="72"/>
  <c r="C53" i="72" s="1"/>
  <c r="D56" i="81"/>
  <c r="C25" i="55"/>
  <c r="C77" i="55" s="1"/>
  <c r="B63" i="55"/>
  <c r="E93" i="81"/>
  <c r="E10" i="53"/>
  <c r="E56" i="53" s="1"/>
  <c r="D44" i="81"/>
  <c r="C13" i="55"/>
  <c r="C65" i="55" s="1"/>
  <c r="E115" i="53"/>
  <c r="E174" i="53"/>
  <c r="E57" i="81"/>
  <c r="D26" i="55"/>
  <c r="D78" i="55" s="1"/>
  <c r="D80" i="81"/>
  <c r="C26" i="72"/>
  <c r="C50" i="72" s="1"/>
  <c r="J23" i="22"/>
  <c r="D43" i="81"/>
  <c r="C12" i="55"/>
  <c r="C64" i="55" s="1"/>
  <c r="B117" i="55"/>
  <c r="D168" i="55" s="1"/>
  <c r="D216" i="55"/>
  <c r="F66" i="83"/>
  <c r="E13" i="84"/>
  <c r="E96" i="81"/>
  <c r="E13" i="53"/>
  <c r="E59" i="53" s="1"/>
  <c r="B118" i="55"/>
  <c r="D169" i="55" s="1"/>
  <c r="D217" i="55"/>
  <c r="E106" i="81"/>
  <c r="E23" i="53"/>
  <c r="E69" i="53" s="1"/>
  <c r="I51" i="61"/>
  <c r="H45" i="42"/>
  <c r="F20" i="21"/>
  <c r="E190" i="53"/>
  <c r="E131" i="53"/>
  <c r="D42" i="81"/>
  <c r="C11" i="55"/>
  <c r="G32" i="21"/>
  <c r="B128" i="84"/>
  <c r="B133" i="84"/>
  <c r="B127" i="84"/>
  <c r="B129" i="84"/>
  <c r="B131" i="84"/>
  <c r="B132" i="84"/>
  <c r="B130" i="84"/>
  <c r="B124" i="84"/>
  <c r="D49" i="81"/>
  <c r="C18" i="55"/>
  <c r="C70" i="55" s="1"/>
  <c r="E186" i="53"/>
  <c r="E127" i="53"/>
  <c r="B30" i="72"/>
  <c r="B54" i="72" s="1"/>
  <c r="C84" i="81"/>
  <c r="J149" i="84"/>
  <c r="J168" i="84" s="1"/>
  <c r="I180" i="84"/>
  <c r="I179" i="84"/>
  <c r="E12" i="53"/>
  <c r="E58" i="53" s="1"/>
  <c r="E95" i="81"/>
  <c r="D58" i="81"/>
  <c r="C27" i="55"/>
  <c r="C79" i="55" s="1"/>
  <c r="D72" i="81"/>
  <c r="C18" i="72"/>
  <c r="C42" i="72" s="1"/>
  <c r="B31" i="55"/>
  <c r="B83" i="55" s="1"/>
  <c r="C62" i="81"/>
  <c r="F172" i="29"/>
  <c r="F157" i="29"/>
  <c r="F142" i="29"/>
  <c r="F127" i="29"/>
  <c r="F34" i="29"/>
  <c r="E82" i="81"/>
  <c r="D28" i="72"/>
  <c r="D52" i="72" s="1"/>
  <c r="D152" i="72"/>
  <c r="B95" i="72"/>
  <c r="D139" i="72" s="1"/>
  <c r="B96" i="72"/>
  <c r="E185" i="53"/>
  <c r="E126" i="53"/>
  <c r="D48" i="81"/>
  <c r="C17" i="55"/>
  <c r="C69" i="55" s="1"/>
  <c r="B123" i="55"/>
  <c r="D174" i="55" s="1"/>
  <c r="D222" i="55"/>
  <c r="E36" i="21"/>
  <c r="D112" i="81"/>
  <c r="D29" i="53"/>
  <c r="D75" i="53" s="1"/>
  <c r="G10" i="42"/>
  <c r="I21" i="42" s="1"/>
  <c r="I23" i="42" s="1"/>
  <c r="H9" i="42"/>
  <c r="H10" i="42" s="1"/>
  <c r="B111" i="55"/>
  <c r="D162" i="55" s="1"/>
  <c r="D210" i="55"/>
  <c r="E92" i="81"/>
  <c r="E9" i="53"/>
  <c r="E55" i="53" s="1"/>
  <c r="E223" i="55"/>
  <c r="C124" i="55"/>
  <c r="E175" i="55" s="1"/>
  <c r="B110" i="55"/>
  <c r="D161" i="55" s="1"/>
  <c r="D209" i="55"/>
  <c r="E180" i="53"/>
  <c r="E121" i="53"/>
  <c r="D71" i="81"/>
  <c r="C17" i="72"/>
  <c r="C41" i="72" s="1"/>
  <c r="J214" i="53"/>
  <c r="J182" i="53"/>
  <c r="J191" i="53"/>
  <c r="J137" i="53"/>
  <c r="J237" i="53"/>
  <c r="J236" i="53"/>
  <c r="J238" i="53"/>
  <c r="J239" i="53"/>
  <c r="J196" i="53"/>
  <c r="D27" i="53"/>
  <c r="D73" i="53" s="1"/>
  <c r="D110" i="81"/>
  <c r="E184" i="53"/>
  <c r="E125" i="53"/>
  <c r="I167" i="84"/>
  <c r="D53" i="81"/>
  <c r="C22" i="55"/>
  <c r="C74" i="55" s="1"/>
  <c r="D55" i="81"/>
  <c r="C24" i="55"/>
  <c r="C76" i="55" s="1"/>
  <c r="D69" i="81"/>
  <c r="C15" i="72"/>
  <c r="C39" i="72" s="1"/>
  <c r="D68" i="81"/>
  <c r="C14" i="72"/>
  <c r="C38" i="72" s="1"/>
  <c r="D46" i="81"/>
  <c r="C15" i="55"/>
  <c r="C67" i="55" s="1"/>
  <c r="C14" i="55"/>
  <c r="C66" i="55" s="1"/>
  <c r="D45" i="81"/>
  <c r="D54" i="81"/>
  <c r="C23" i="55"/>
  <c r="C75" i="55" s="1"/>
  <c r="D76" i="81"/>
  <c r="C22" i="72"/>
  <c r="C46" i="72" s="1"/>
  <c r="F130" i="53"/>
  <c r="F189" i="53"/>
  <c r="E101" i="81"/>
  <c r="E18" i="53"/>
  <c r="E64" i="53" s="1"/>
  <c r="B31" i="72"/>
  <c r="B55" i="72" s="1"/>
  <c r="C85" i="81"/>
  <c r="D70" i="81"/>
  <c r="C16" i="72"/>
  <c r="C40" i="72" s="1"/>
  <c r="B37" i="72"/>
  <c r="E179" i="53"/>
  <c r="E120" i="53"/>
  <c r="D134" i="53"/>
  <c r="D193" i="53"/>
  <c r="E175" i="53"/>
  <c r="E116" i="53"/>
  <c r="E16" i="53"/>
  <c r="E62" i="53" s="1"/>
  <c r="E99" i="81"/>
  <c r="F32" i="21"/>
  <c r="E188" i="53"/>
  <c r="E129" i="53"/>
  <c r="B116" i="55"/>
  <c r="D167" i="55" s="1"/>
  <c r="D215" i="55"/>
  <c r="E104" i="81"/>
  <c r="E21" i="53"/>
  <c r="E67" i="53" s="1"/>
  <c r="C59" i="81"/>
  <c r="B28" i="55"/>
  <c r="B80" i="55" s="1"/>
  <c r="E124" i="53"/>
  <c r="E183" i="53"/>
  <c r="F30" i="21"/>
  <c r="B125" i="55"/>
  <c r="D176" i="55" s="1"/>
  <c r="D224" i="55"/>
  <c r="B78" i="72"/>
  <c r="D154" i="72"/>
  <c r="B79" i="72"/>
  <c r="D67" i="81"/>
  <c r="C13" i="72"/>
  <c r="C25" i="72"/>
  <c r="C49" i="72" s="1"/>
  <c r="D79" i="81"/>
  <c r="E103" i="81"/>
  <c r="E20" i="53"/>
  <c r="E66" i="53" s="1"/>
  <c r="B115" i="55"/>
  <c r="D166" i="55" s="1"/>
  <c r="D214" i="55"/>
  <c r="E20" i="21"/>
  <c r="H51" i="61"/>
  <c r="G45" i="42"/>
  <c r="G47" i="42" s="1"/>
  <c r="D111" i="81"/>
  <c r="D28" i="53"/>
  <c r="D74" i="53" s="1"/>
  <c r="E176" i="53"/>
  <c r="E117" i="53"/>
  <c r="D135" i="53"/>
  <c r="D194" i="53"/>
  <c r="I38" i="61"/>
  <c r="F10" i="21"/>
  <c r="H47" i="42"/>
  <c r="D47" i="81"/>
  <c r="C16" i="55"/>
  <c r="C68" i="55" s="1"/>
  <c r="D78" i="81"/>
  <c r="C24" i="72"/>
  <c r="C48" i="72" s="1"/>
  <c r="E181" i="53"/>
  <c r="E122" i="53"/>
  <c r="K20" i="22"/>
  <c r="K16" i="22"/>
  <c r="K21" i="22"/>
  <c r="K17" i="22"/>
  <c r="K22" i="22"/>
  <c r="K18" i="22"/>
  <c r="K14" i="22"/>
  <c r="K12" i="22"/>
  <c r="K10" i="22"/>
  <c r="K9" i="22"/>
  <c r="K19" i="22"/>
  <c r="K15" i="22"/>
  <c r="K13" i="22"/>
  <c r="K11" i="22"/>
  <c r="K8" i="22"/>
  <c r="G173" i="29"/>
  <c r="G35" i="29"/>
  <c r="G158" i="29"/>
  <c r="G143" i="29"/>
  <c r="G128" i="29"/>
  <c r="E98" i="81"/>
  <c r="E15" i="53"/>
  <c r="E61" i="53" s="1"/>
  <c r="D52" i="81"/>
  <c r="C21" i="55"/>
  <c r="C73" i="55" s="1"/>
  <c r="D73" i="81"/>
  <c r="C19" i="72"/>
  <c r="C43" i="72" s="1"/>
  <c r="D133" i="53"/>
  <c r="D192" i="53"/>
  <c r="E102" i="81"/>
  <c r="E19" i="53"/>
  <c r="E65" i="53" s="1"/>
  <c r="B120" i="55"/>
  <c r="D171" i="55" s="1"/>
  <c r="D219" i="55"/>
  <c r="B122" i="55"/>
  <c r="D173" i="55" s="1"/>
  <c r="D221" i="55"/>
  <c r="D153" i="72"/>
  <c r="B63" i="72"/>
  <c r="B64" i="72"/>
  <c r="D212" i="55"/>
  <c r="B113" i="55"/>
  <c r="D164" i="55" s="1"/>
  <c r="B112" i="55"/>
  <c r="D163" i="55" s="1"/>
  <c r="D211" i="55"/>
  <c r="B121" i="55"/>
  <c r="D172" i="55" s="1"/>
  <c r="D220" i="55"/>
  <c r="E147" i="53"/>
  <c r="D234" i="55"/>
  <c r="B135" i="55"/>
  <c r="D187" i="55" s="1"/>
  <c r="D44" i="83"/>
  <c r="C37" i="55"/>
  <c r="C89" i="55" s="1"/>
  <c r="C15" i="84"/>
  <c r="C46" i="84" s="1"/>
  <c r="C75" i="84" s="1"/>
  <c r="E200" i="53"/>
  <c r="E141" i="53"/>
  <c r="E35" i="53"/>
  <c r="E81" i="53" s="1"/>
  <c r="B138" i="55"/>
  <c r="D190" i="55" s="1"/>
  <c r="D237" i="55"/>
  <c r="E203" i="53"/>
  <c r="E144" i="53"/>
  <c r="E50" i="53"/>
  <c r="E95" i="53" s="1"/>
  <c r="D35" i="55"/>
  <c r="E42" i="83"/>
  <c r="F206" i="53"/>
  <c r="F147" i="53"/>
  <c r="B32" i="84"/>
  <c r="B30" i="84"/>
  <c r="B61" i="84" s="1"/>
  <c r="D45" i="83"/>
  <c r="C38" i="55"/>
  <c r="C90" i="55" s="1"/>
  <c r="C20" i="84"/>
  <c r="C51" i="84" s="1"/>
  <c r="C39" i="55"/>
  <c r="C91" i="55" s="1"/>
  <c r="D46" i="83"/>
  <c r="E38" i="53"/>
  <c r="E84" i="53" s="1"/>
  <c r="D247" i="55"/>
  <c r="B149" i="55"/>
  <c r="D201" i="55" s="1"/>
  <c r="E199" i="53"/>
  <c r="E140" i="53"/>
  <c r="E205" i="53"/>
  <c r="E146" i="53"/>
  <c r="D239" i="55"/>
  <c r="B140" i="55"/>
  <c r="D192" i="55" s="1"/>
  <c r="C36" i="55"/>
  <c r="C88" i="55" s="1"/>
  <c r="D43" i="83"/>
  <c r="B31" i="84"/>
  <c r="E48" i="53"/>
  <c r="E93" i="53" s="1"/>
  <c r="D49" i="83"/>
  <c r="C42" i="55"/>
  <c r="C94" i="55" s="1"/>
  <c r="C55" i="83"/>
  <c r="D235" i="55"/>
  <c r="B136" i="55"/>
  <c r="D188" i="55" s="1"/>
  <c r="B137" i="55"/>
  <c r="D189" i="55" s="1"/>
  <c r="D236" i="55"/>
  <c r="E212" i="53"/>
  <c r="E154" i="53"/>
  <c r="D62" i="83"/>
  <c r="C54" i="55"/>
  <c r="C105" i="55" s="1"/>
  <c r="E34" i="53"/>
  <c r="E80" i="53" s="1"/>
  <c r="E40" i="53"/>
  <c r="E86" i="53" s="1"/>
  <c r="D233" i="55"/>
  <c r="B134" i="55"/>
  <c r="D186" i="55" s="1"/>
  <c r="E204" i="53"/>
  <c r="E145" i="53"/>
  <c r="C53" i="55"/>
  <c r="C104" i="55" s="1"/>
  <c r="D61" i="83"/>
  <c r="B148" i="55"/>
  <c r="D200" i="55" s="1"/>
  <c r="D246" i="55"/>
  <c r="B147" i="55"/>
  <c r="D199" i="55" s="1"/>
  <c r="D245" i="55"/>
  <c r="C34" i="84"/>
  <c r="C62" i="84" s="1"/>
  <c r="B52" i="83"/>
  <c r="C42" i="53"/>
  <c r="C88" i="53" s="1"/>
  <c r="B133" i="55"/>
  <c r="D232" i="55"/>
  <c r="E49" i="53"/>
  <c r="E94" i="53" s="1"/>
  <c r="D248" i="55"/>
  <c r="B150" i="55"/>
  <c r="D202" i="55" s="1"/>
  <c r="C18" i="84"/>
  <c r="C49" i="84" s="1"/>
  <c r="D43" i="55"/>
  <c r="D95" i="55" s="1"/>
  <c r="E50" i="83"/>
  <c r="E36" i="53"/>
  <c r="E82" i="53" s="1"/>
  <c r="C17" i="84"/>
  <c r="C48" i="84" s="1"/>
  <c r="E39" i="53"/>
  <c r="E85" i="53" s="1"/>
  <c r="F33" i="53"/>
  <c r="F79" i="53" s="1"/>
  <c r="F41" i="53"/>
  <c r="F87" i="53" s="1"/>
  <c r="D46" i="53"/>
  <c r="D91" i="53" s="1"/>
  <c r="E151" i="53" s="1"/>
  <c r="B125" i="84"/>
  <c r="B142" i="84" s="1"/>
  <c r="B126" i="84"/>
  <c r="B143" i="84" s="1"/>
  <c r="C43" i="53"/>
  <c r="C89" i="53" s="1"/>
  <c r="B51" i="83"/>
  <c r="C14" i="84"/>
  <c r="E202" i="53"/>
  <c r="E143" i="53"/>
  <c r="B33" i="84"/>
  <c r="C36" i="84"/>
  <c r="C64" i="84" s="1"/>
  <c r="E152" i="53"/>
  <c r="E210" i="53"/>
  <c r="E240" i="55"/>
  <c r="C141" i="55"/>
  <c r="E193" i="55" s="1"/>
  <c r="E201" i="53"/>
  <c r="E142" i="53"/>
  <c r="B53" i="83"/>
  <c r="C16" i="84"/>
  <c r="C47" i="84" s="1"/>
  <c r="D45" i="53"/>
  <c r="D238" i="55"/>
  <c r="B139" i="55"/>
  <c r="D191" i="55" s="1"/>
  <c r="D21" i="84"/>
  <c r="D52" i="84" s="1"/>
  <c r="B54" i="83"/>
  <c r="D59" i="83"/>
  <c r="C51" i="55"/>
  <c r="C102" i="55" s="1"/>
  <c r="E211" i="53"/>
  <c r="E153" i="53"/>
  <c r="D47" i="83"/>
  <c r="C40" i="55"/>
  <c r="C92" i="55" s="1"/>
  <c r="C37" i="84"/>
  <c r="C65" i="84" s="1"/>
  <c r="F198" i="53"/>
  <c r="F139" i="53"/>
  <c r="C19" i="84"/>
  <c r="C50" i="84" s="1"/>
  <c r="E37" i="53"/>
  <c r="E83" i="53" s="1"/>
  <c r="E47" i="53"/>
  <c r="E92" i="53" s="1"/>
  <c r="E213" i="53"/>
  <c r="E155" i="53"/>
  <c r="D48" i="83"/>
  <c r="C41" i="55"/>
  <c r="C93" i="55" s="1"/>
  <c r="C35" i="84"/>
  <c r="C63" i="84" s="1"/>
  <c r="C87" i="55"/>
  <c r="D60" i="83"/>
  <c r="C52" i="55"/>
  <c r="C103" i="55" s="1"/>
  <c r="C44" i="53"/>
  <c r="C90" i="53" s="1"/>
  <c r="D52" i="22"/>
  <c r="D51" i="22"/>
  <c r="G66" i="22"/>
  <c r="D61" i="22"/>
  <c r="D58" i="22"/>
  <c r="E66" i="22"/>
  <c r="F66" i="22"/>
  <c r="D57" i="22"/>
  <c r="H66" i="22"/>
  <c r="D63" i="22"/>
  <c r="I66" i="22"/>
  <c r="C45" i="22"/>
  <c r="C67" i="22" s="1"/>
  <c r="D66" i="22"/>
  <c r="D40" i="22"/>
  <c r="E39" i="22"/>
  <c r="C66" i="22"/>
  <c r="K64" i="22"/>
  <c r="L61" i="22" s="1"/>
  <c r="L62" i="22" s="1"/>
  <c r="L63" i="22" s="1"/>
  <c r="L39" i="22"/>
  <c r="L40" i="22"/>
  <c r="M37" i="22" s="1"/>
  <c r="M38" i="22" s="1"/>
  <c r="M40" i="22" s="1"/>
  <c r="N37" i="22" s="1"/>
  <c r="K66" i="22"/>
  <c r="L50" i="22"/>
  <c r="L52" i="22" s="1"/>
  <c r="K46" i="22"/>
  <c r="D43" i="22"/>
  <c r="C68" i="22"/>
  <c r="L56" i="22"/>
  <c r="L57" i="22" s="1"/>
  <c r="K67" i="22" l="1"/>
  <c r="B97" i="22"/>
  <c r="B42" i="21"/>
  <c r="I195" i="53"/>
  <c r="I136" i="53"/>
  <c r="G21" i="21"/>
  <c r="J57" i="48"/>
  <c r="K37" i="48"/>
  <c r="K44" i="48"/>
  <c r="K30" i="48"/>
  <c r="K28" i="48"/>
  <c r="K31" i="48"/>
  <c r="K52" i="48"/>
  <c r="K56" i="48" s="1"/>
  <c r="K35" i="48"/>
  <c r="K33" i="48"/>
  <c r="K32" i="48"/>
  <c r="K34" i="48"/>
  <c r="K36" i="48"/>
  <c r="K38" i="48"/>
  <c r="K29" i="48"/>
  <c r="K43" i="48"/>
  <c r="B32" i="72"/>
  <c r="J39" i="48"/>
  <c r="F173" i="29"/>
  <c r="F158" i="29"/>
  <c r="F143" i="29"/>
  <c r="F128" i="29"/>
  <c r="F35" i="29"/>
  <c r="J136" i="53"/>
  <c r="J195" i="53"/>
  <c r="G31" i="21"/>
  <c r="E49" i="22"/>
  <c r="F163" i="84"/>
  <c r="C45" i="84"/>
  <c r="C71" i="84" s="1"/>
  <c r="E164" i="84" s="1"/>
  <c r="C39" i="84"/>
  <c r="E44" i="84"/>
  <c r="E67" i="84" s="1"/>
  <c r="G163" i="84" s="1"/>
  <c r="E156" i="84"/>
  <c r="E165" i="84"/>
  <c r="J167" i="84"/>
  <c r="D155" i="84"/>
  <c r="D159" i="84" s="1"/>
  <c r="D164" i="84"/>
  <c r="F121" i="53"/>
  <c r="F180" i="53"/>
  <c r="F126" i="53"/>
  <c r="F185" i="53"/>
  <c r="D141" i="72"/>
  <c r="D160" i="72"/>
  <c r="D161" i="72"/>
  <c r="E70" i="81"/>
  <c r="D16" i="72"/>
  <c r="D40" i="72" s="1"/>
  <c r="E76" i="81"/>
  <c r="D22" i="72"/>
  <c r="D46" i="72" s="1"/>
  <c r="E68" i="81"/>
  <c r="D14" i="72"/>
  <c r="D38" i="72" s="1"/>
  <c r="E55" i="81"/>
  <c r="D24" i="55"/>
  <c r="D76" i="55" s="1"/>
  <c r="E194" i="53"/>
  <c r="E135" i="53"/>
  <c r="B129" i="55"/>
  <c r="D180" i="55" s="1"/>
  <c r="D228" i="55"/>
  <c r="E42" i="81"/>
  <c r="D11" i="55"/>
  <c r="F106" i="81"/>
  <c r="F23" i="53"/>
  <c r="F69" i="53" s="1"/>
  <c r="F96" i="81"/>
  <c r="F13" i="53"/>
  <c r="F59" i="53" s="1"/>
  <c r="E43" i="81"/>
  <c r="D12" i="55"/>
  <c r="D64" i="55" s="1"/>
  <c r="E210" i="55"/>
  <c r="C111" i="55"/>
  <c r="E162" i="55" s="1"/>
  <c r="E56" i="81"/>
  <c r="D25" i="55"/>
  <c r="D77" i="55" s="1"/>
  <c r="E77" i="81"/>
  <c r="D23" i="72"/>
  <c r="D47" i="72" s="1"/>
  <c r="D60" i="81"/>
  <c r="C29" i="55"/>
  <c r="C81" i="55" s="1"/>
  <c r="J27" i="42"/>
  <c r="J28" i="42"/>
  <c r="J29" i="42"/>
  <c r="J37" i="42"/>
  <c r="J43" i="42" s="1"/>
  <c r="C117" i="55"/>
  <c r="E168" i="55" s="1"/>
  <c r="E216" i="55"/>
  <c r="E74" i="81"/>
  <c r="D20" i="72"/>
  <c r="D44" i="72" s="1"/>
  <c r="F98" i="81"/>
  <c r="F15" i="53"/>
  <c r="F61" i="53" s="1"/>
  <c r="E78" i="81"/>
  <c r="D24" i="72"/>
  <c r="D48" i="72" s="1"/>
  <c r="G34" i="29"/>
  <c r="G172" i="29"/>
  <c r="G157" i="29"/>
  <c r="G142" i="29"/>
  <c r="G127" i="29"/>
  <c r="E111" i="81"/>
  <c r="E28" i="53"/>
  <c r="E74" i="53" s="1"/>
  <c r="F103" i="81"/>
  <c r="F20" i="53"/>
  <c r="F66" i="53" s="1"/>
  <c r="E67" i="81"/>
  <c r="D13" i="72"/>
  <c r="F127" i="53"/>
  <c r="F186" i="53"/>
  <c r="F99" i="81"/>
  <c r="F16" i="53"/>
  <c r="F62" i="53" s="1"/>
  <c r="D85" i="81"/>
  <c r="C31" i="72"/>
  <c r="C55" i="72" s="1"/>
  <c r="C121" i="55"/>
  <c r="E172" i="55" s="1"/>
  <c r="E220" i="55"/>
  <c r="C113" i="55"/>
  <c r="E164" i="55" s="1"/>
  <c r="E212" i="55"/>
  <c r="E219" i="55"/>
  <c r="C120" i="55"/>
  <c r="E171" i="55" s="1"/>
  <c r="E112" i="81"/>
  <c r="E29" i="53"/>
  <c r="E75" i="53" s="1"/>
  <c r="E214" i="55"/>
  <c r="C115" i="55"/>
  <c r="E166" i="55" s="1"/>
  <c r="F82" i="81"/>
  <c r="E28" i="72"/>
  <c r="E52" i="72" s="1"/>
  <c r="E154" i="72"/>
  <c r="C78" i="72"/>
  <c r="C79" i="72"/>
  <c r="F95" i="81"/>
  <c r="F12" i="53"/>
  <c r="F58" i="53" s="1"/>
  <c r="J180" i="84"/>
  <c r="J179" i="84"/>
  <c r="J184" i="84" s="1"/>
  <c r="G35" i="21"/>
  <c r="F57" i="81"/>
  <c r="E26" i="55"/>
  <c r="E78" i="55" s="1"/>
  <c r="E44" i="81"/>
  <c r="D13" i="55"/>
  <c r="D65" i="55" s="1"/>
  <c r="B109" i="55"/>
  <c r="D208" i="55"/>
  <c r="F108" i="81"/>
  <c r="F25" i="53"/>
  <c r="F71" i="53" s="1"/>
  <c r="B127" i="55"/>
  <c r="D178" i="55" s="1"/>
  <c r="D226" i="55"/>
  <c r="G189" i="53"/>
  <c r="G130" i="53"/>
  <c r="E51" i="81"/>
  <c r="D20" i="55"/>
  <c r="D72" i="55" s="1"/>
  <c r="E50" i="81"/>
  <c r="D19" i="55"/>
  <c r="D71" i="55" s="1"/>
  <c r="C128" i="55"/>
  <c r="E179" i="55" s="1"/>
  <c r="E227" i="55"/>
  <c r="D140" i="72"/>
  <c r="D144" i="72"/>
  <c r="E193" i="53"/>
  <c r="E134" i="53"/>
  <c r="C37" i="72"/>
  <c r="D59" i="81"/>
  <c r="C28" i="55"/>
  <c r="C80" i="55" s="1"/>
  <c r="F101" i="81"/>
  <c r="F18" i="53"/>
  <c r="F64" i="53" s="1"/>
  <c r="C112" i="55"/>
  <c r="E163" i="55" s="1"/>
  <c r="E211" i="55"/>
  <c r="E58" i="81"/>
  <c r="D27" i="55"/>
  <c r="D79" i="55" s="1"/>
  <c r="F223" i="55"/>
  <c r="D124" i="55"/>
  <c r="F175" i="55" s="1"/>
  <c r="B33" i="55"/>
  <c r="F97" i="81"/>
  <c r="F14" i="53"/>
  <c r="F60" i="53" s="1"/>
  <c r="G30" i="21"/>
  <c r="G107" i="81"/>
  <c r="G24" i="53"/>
  <c r="G70" i="53" s="1"/>
  <c r="E217" i="55"/>
  <c r="C118" i="55"/>
  <c r="E169" i="55" s="1"/>
  <c r="E61" i="81"/>
  <c r="D30" i="55"/>
  <c r="D82" i="55" s="1"/>
  <c r="E51" i="22"/>
  <c r="F184" i="53"/>
  <c r="F125" i="53"/>
  <c r="E218" i="55"/>
  <c r="C119" i="55"/>
  <c r="E170" i="55" s="1"/>
  <c r="E213" i="55"/>
  <c r="C114" i="55"/>
  <c r="E165" i="55" s="1"/>
  <c r="E79" i="81"/>
  <c r="D25" i="72"/>
  <c r="D49" i="72" s="1"/>
  <c r="F104" i="81"/>
  <c r="F21" i="53"/>
  <c r="F67" i="53" s="1"/>
  <c r="F122" i="53"/>
  <c r="F181" i="53"/>
  <c r="B12" i="72"/>
  <c r="B35" i="72"/>
  <c r="D156" i="72"/>
  <c r="E54" i="81"/>
  <c r="D23" i="55"/>
  <c r="D75" i="55" s="1"/>
  <c r="E46" i="81"/>
  <c r="D15" i="55"/>
  <c r="D67" i="55" s="1"/>
  <c r="E69" i="81"/>
  <c r="D15" i="72"/>
  <c r="D39" i="72" s="1"/>
  <c r="E53" i="81"/>
  <c r="D22" i="55"/>
  <c r="D74" i="55" s="1"/>
  <c r="E110" i="81"/>
  <c r="E27" i="53"/>
  <c r="E73" i="53" s="1"/>
  <c r="F174" i="53"/>
  <c r="F115" i="53"/>
  <c r="J21" i="42"/>
  <c r="J23" i="42" s="1"/>
  <c r="F134" i="29"/>
  <c r="F24" i="68"/>
  <c r="F149" i="29"/>
  <c r="F164" i="29"/>
  <c r="F179" i="29"/>
  <c r="E48" i="81"/>
  <c r="D17" i="55"/>
  <c r="D69" i="55" s="1"/>
  <c r="E72" i="81"/>
  <c r="D18" i="72"/>
  <c r="D42" i="72" s="1"/>
  <c r="F118" i="53"/>
  <c r="F177" i="53"/>
  <c r="D84" i="81"/>
  <c r="C30" i="72"/>
  <c r="C54" i="72" s="1"/>
  <c r="E215" i="55"/>
  <c r="C116" i="55"/>
  <c r="E167" i="55" s="1"/>
  <c r="G66" i="83"/>
  <c r="F13" i="84"/>
  <c r="F175" i="53"/>
  <c r="F116" i="53"/>
  <c r="E83" i="81"/>
  <c r="D29" i="72"/>
  <c r="D53" i="72" s="1"/>
  <c r="F131" i="53"/>
  <c r="F190" i="53"/>
  <c r="F117" i="53"/>
  <c r="F176" i="53"/>
  <c r="F187" i="53"/>
  <c r="F128" i="53"/>
  <c r="F102" i="81"/>
  <c r="F19" i="53"/>
  <c r="F65" i="53" s="1"/>
  <c r="E73" i="81"/>
  <c r="D19" i="72"/>
  <c r="D43" i="72" s="1"/>
  <c r="D21" i="55"/>
  <c r="D73" i="55" s="1"/>
  <c r="E52" i="81"/>
  <c r="K23" i="22"/>
  <c r="E47" i="81"/>
  <c r="D16" i="55"/>
  <c r="D68" i="55" s="1"/>
  <c r="B126" i="55"/>
  <c r="D177" i="55" s="1"/>
  <c r="D225" i="55"/>
  <c r="E155" i="72"/>
  <c r="C70" i="72"/>
  <c r="E142" i="72" s="1"/>
  <c r="C71" i="72"/>
  <c r="F183" i="53"/>
  <c r="F124" i="53"/>
  <c r="E45" i="81"/>
  <c r="D14" i="55"/>
  <c r="D66" i="55" s="1"/>
  <c r="C63" i="72"/>
  <c r="E153" i="72"/>
  <c r="C64" i="72"/>
  <c r="E221" i="55"/>
  <c r="C122" i="55"/>
  <c r="E173" i="55" s="1"/>
  <c r="E133" i="53"/>
  <c r="E192" i="53"/>
  <c r="J244" i="53"/>
  <c r="E71" i="81"/>
  <c r="D17" i="72"/>
  <c r="D41" i="72" s="1"/>
  <c r="F92" i="81"/>
  <c r="F9" i="53"/>
  <c r="F55" i="53" s="1"/>
  <c r="J38" i="61"/>
  <c r="G10" i="21"/>
  <c r="D62" i="81"/>
  <c r="C31" i="55"/>
  <c r="C83" i="55" s="1"/>
  <c r="C125" i="55"/>
  <c r="E176" i="55" s="1"/>
  <c r="E224" i="55"/>
  <c r="I184" i="84"/>
  <c r="E49" i="81"/>
  <c r="D18" i="55"/>
  <c r="D70" i="55" s="1"/>
  <c r="C63" i="55"/>
  <c r="F188" i="53"/>
  <c r="F129" i="53"/>
  <c r="F178" i="53"/>
  <c r="F119" i="53"/>
  <c r="E209" i="55"/>
  <c r="C110" i="55"/>
  <c r="E161" i="55" s="1"/>
  <c r="E80" i="81"/>
  <c r="D26" i="72"/>
  <c r="D50" i="72" s="1"/>
  <c r="F93" i="81"/>
  <c r="F10" i="53"/>
  <c r="F56" i="53" s="1"/>
  <c r="E222" i="55"/>
  <c r="C123" i="55"/>
  <c r="E174" i="55" s="1"/>
  <c r="F179" i="53"/>
  <c r="F120" i="53"/>
  <c r="E152" i="72"/>
  <c r="C95" i="72"/>
  <c r="E139" i="72" s="1"/>
  <c r="C96" i="72"/>
  <c r="I34" i="42"/>
  <c r="F33" i="21"/>
  <c r="F36" i="21" s="1"/>
  <c r="E75" i="81"/>
  <c r="D21" i="72"/>
  <c r="D45" i="72" s="1"/>
  <c r="E81" i="81"/>
  <c r="D27" i="72"/>
  <c r="D51" i="72" s="1"/>
  <c r="F94" i="81"/>
  <c r="F11" i="53"/>
  <c r="F57" i="53" s="1"/>
  <c r="F105" i="81"/>
  <c r="F22" i="53"/>
  <c r="F68" i="53" s="1"/>
  <c r="F200" i="53"/>
  <c r="F141" i="53"/>
  <c r="E234" i="55"/>
  <c r="C135" i="55"/>
  <c r="E187" i="55" s="1"/>
  <c r="E68" i="83"/>
  <c r="D15" i="84"/>
  <c r="D46" i="84" s="1"/>
  <c r="D75" i="84" s="1"/>
  <c r="F35" i="53"/>
  <c r="F81" i="53" s="1"/>
  <c r="D37" i="55"/>
  <c r="D89" i="55" s="1"/>
  <c r="E44" i="83"/>
  <c r="B22" i="84"/>
  <c r="B60" i="84"/>
  <c r="D36" i="55"/>
  <c r="D88" i="55" s="1"/>
  <c r="E43" i="83"/>
  <c r="E236" i="55"/>
  <c r="C137" i="55"/>
  <c r="E189" i="55" s="1"/>
  <c r="D87" i="55"/>
  <c r="D209" i="53"/>
  <c r="D150" i="53"/>
  <c r="D35" i="84"/>
  <c r="D63" i="84" s="1"/>
  <c r="B56" i="84"/>
  <c r="D43" i="53"/>
  <c r="D89" i="53" s="1"/>
  <c r="G206" i="53"/>
  <c r="G147" i="53"/>
  <c r="F50" i="83"/>
  <c r="E43" i="55"/>
  <c r="E95" i="55" s="1"/>
  <c r="D34" i="84"/>
  <c r="D62" i="84" s="1"/>
  <c r="F146" i="53"/>
  <c r="F205" i="53"/>
  <c r="E248" i="55"/>
  <c r="C150" i="55"/>
  <c r="E202" i="55" s="1"/>
  <c r="E49" i="83"/>
  <c r="D42" i="55"/>
  <c r="D94" i="55" s="1"/>
  <c r="E233" i="55"/>
  <c r="C134" i="55"/>
  <c r="E186" i="55" s="1"/>
  <c r="F203" i="53"/>
  <c r="F144" i="53"/>
  <c r="D20" i="84"/>
  <c r="D51" i="84" s="1"/>
  <c r="C32" i="84"/>
  <c r="F50" i="53"/>
  <c r="F95" i="53" s="1"/>
  <c r="D44" i="53"/>
  <c r="D90" i="53" s="1"/>
  <c r="E47" i="83"/>
  <c r="D40" i="55"/>
  <c r="D92" i="55" s="1"/>
  <c r="E239" i="55"/>
  <c r="C140" i="55"/>
  <c r="E192" i="55" s="1"/>
  <c r="E246" i="55"/>
  <c r="C148" i="55"/>
  <c r="E200" i="55" s="1"/>
  <c r="F210" i="53"/>
  <c r="F152" i="53"/>
  <c r="C54" i="83"/>
  <c r="B47" i="55"/>
  <c r="B99" i="55" s="1"/>
  <c r="E45" i="53"/>
  <c r="D16" i="84"/>
  <c r="D47" i="84" s="1"/>
  <c r="D208" i="53"/>
  <c r="D149" i="53"/>
  <c r="G41" i="53"/>
  <c r="G87" i="53" s="1"/>
  <c r="D17" i="84"/>
  <c r="D48" i="84" s="1"/>
  <c r="F240" i="55"/>
  <c r="D141" i="55"/>
  <c r="F193" i="55" s="1"/>
  <c r="M171" i="55"/>
  <c r="D185" i="55"/>
  <c r="C126" i="84"/>
  <c r="C143" i="84" s="1"/>
  <c r="C124" i="84"/>
  <c r="C141" i="84" s="1"/>
  <c r="C125" i="84"/>
  <c r="C142" i="84" s="1"/>
  <c r="F40" i="53"/>
  <c r="F86" i="53" s="1"/>
  <c r="E62" i="83"/>
  <c r="D54" i="55"/>
  <c r="D105" i="55" s="1"/>
  <c r="F211" i="53"/>
  <c r="F153" i="53"/>
  <c r="F38" i="53"/>
  <c r="F84" i="53" s="1"/>
  <c r="F213" i="53"/>
  <c r="F155" i="53"/>
  <c r="D51" i="55"/>
  <c r="D102" i="55" s="1"/>
  <c r="E59" i="83"/>
  <c r="F39" i="53"/>
  <c r="F85" i="53" s="1"/>
  <c r="D18" i="84"/>
  <c r="D49" i="84" s="1"/>
  <c r="B45" i="55"/>
  <c r="B97" i="55" s="1"/>
  <c r="C52" i="83"/>
  <c r="B58" i="84"/>
  <c r="E60" i="83"/>
  <c r="D52" i="55"/>
  <c r="D103" i="55" s="1"/>
  <c r="F47" i="53"/>
  <c r="F92" i="53" s="1"/>
  <c r="D19" i="84"/>
  <c r="D50" i="84" s="1"/>
  <c r="B24" i="84"/>
  <c r="B55" i="84" s="1"/>
  <c r="E67" i="83"/>
  <c r="D14" i="84"/>
  <c r="G198" i="53"/>
  <c r="G139" i="53"/>
  <c r="F201" i="53"/>
  <c r="F142" i="53"/>
  <c r="F49" i="53"/>
  <c r="F94" i="53" s="1"/>
  <c r="D42" i="53"/>
  <c r="D88" i="53" s="1"/>
  <c r="B59" i="84"/>
  <c r="F199" i="53"/>
  <c r="F140" i="53"/>
  <c r="F48" i="53"/>
  <c r="F93" i="53" s="1"/>
  <c r="E235" i="55"/>
  <c r="C136" i="55"/>
  <c r="E188" i="55" s="1"/>
  <c r="E238" i="55"/>
  <c r="C139" i="55"/>
  <c r="E191" i="55" s="1"/>
  <c r="F202" i="53"/>
  <c r="F143" i="53"/>
  <c r="D37" i="84"/>
  <c r="D65" i="84" s="1"/>
  <c r="B57" i="84"/>
  <c r="E21" i="84"/>
  <c r="E52" i="84" s="1"/>
  <c r="B46" i="55"/>
  <c r="B98" i="55" s="1"/>
  <c r="C53" i="83"/>
  <c r="D36" i="84"/>
  <c r="D64" i="84" s="1"/>
  <c r="G33" i="53"/>
  <c r="G79" i="53" s="1"/>
  <c r="F36" i="53"/>
  <c r="F82" i="53" s="1"/>
  <c r="F154" i="53"/>
  <c r="F212" i="53"/>
  <c r="D207" i="53"/>
  <c r="D148" i="53"/>
  <c r="C103" i="53"/>
  <c r="C101" i="53"/>
  <c r="C100" i="53"/>
  <c r="C104" i="53"/>
  <c r="C99" i="53"/>
  <c r="D53" i="55"/>
  <c r="D104" i="55" s="1"/>
  <c r="E61" i="83"/>
  <c r="F34" i="53"/>
  <c r="F80" i="53" s="1"/>
  <c r="D55" i="83"/>
  <c r="C31" i="84"/>
  <c r="E45" i="83"/>
  <c r="D38" i="55"/>
  <c r="D90" i="55" s="1"/>
  <c r="E232" i="55"/>
  <c r="C133" i="55"/>
  <c r="D41" i="55"/>
  <c r="D93" i="55" s="1"/>
  <c r="E48" i="83"/>
  <c r="F37" i="53"/>
  <c r="F83" i="53" s="1"/>
  <c r="E237" i="55"/>
  <c r="C138" i="55"/>
  <c r="E190" i="55" s="1"/>
  <c r="E245" i="55"/>
  <c r="C147" i="55"/>
  <c r="E199" i="55" s="1"/>
  <c r="C33" i="84"/>
  <c r="B44" i="55"/>
  <c r="C51" i="83"/>
  <c r="E46" i="53"/>
  <c r="E91" i="53" s="1"/>
  <c r="F151" i="53" s="1"/>
  <c r="F204" i="53"/>
  <c r="F145" i="53"/>
  <c r="B23" i="84"/>
  <c r="B54" i="84" s="1"/>
  <c r="E247" i="55"/>
  <c r="C149" i="55"/>
  <c r="E201" i="55" s="1"/>
  <c r="D39" i="55"/>
  <c r="D91" i="55" s="1"/>
  <c r="E46" i="83"/>
  <c r="C30" i="84"/>
  <c r="C61" i="84" s="1"/>
  <c r="F42" i="83"/>
  <c r="E35" i="55"/>
  <c r="D45" i="22"/>
  <c r="E55" i="22"/>
  <c r="E57" i="22"/>
  <c r="E63" i="22"/>
  <c r="D64" i="22"/>
  <c r="E37" i="22"/>
  <c r="F39" i="22"/>
  <c r="L64" i="22"/>
  <c r="M61" i="22" s="1"/>
  <c r="M62" i="22" s="1"/>
  <c r="M63" i="22" s="1"/>
  <c r="L58" i="22"/>
  <c r="M55" i="22" s="1"/>
  <c r="M56" i="22" s="1"/>
  <c r="M57" i="22" s="1"/>
  <c r="L51" i="22"/>
  <c r="N38" i="22"/>
  <c r="N40" i="22" s="1"/>
  <c r="O37" i="22" s="1"/>
  <c r="M49" i="22"/>
  <c r="M39" i="22"/>
  <c r="E52" i="22"/>
  <c r="L43" i="22"/>
  <c r="K68" i="22"/>
  <c r="D46" i="22"/>
  <c r="D65" i="22"/>
  <c r="B14" i="69" l="1"/>
  <c r="B15" i="69" s="1"/>
  <c r="C32" i="72"/>
  <c r="G11" i="21"/>
  <c r="J59" i="48"/>
  <c r="K49" i="48"/>
  <c r="H31" i="21"/>
  <c r="K39" i="48"/>
  <c r="E155" i="84"/>
  <c r="E159" i="84" s="1"/>
  <c r="G154" i="84"/>
  <c r="D45" i="84"/>
  <c r="D71" i="84" s="1"/>
  <c r="F164" i="84" s="1"/>
  <c r="D39" i="84"/>
  <c r="F44" i="84"/>
  <c r="F67" i="84" s="1"/>
  <c r="H154" i="84" s="1"/>
  <c r="J34" i="42"/>
  <c r="F156" i="84"/>
  <c r="F165" i="84"/>
  <c r="M169" i="84"/>
  <c r="M178" i="84" s="1"/>
  <c r="G179" i="29"/>
  <c r="G134" i="29"/>
  <c r="G164" i="29"/>
  <c r="G149" i="29"/>
  <c r="G24" i="68"/>
  <c r="G105" i="81"/>
  <c r="G22" i="53"/>
  <c r="G68" i="53" s="1"/>
  <c r="H157" i="29"/>
  <c r="H142" i="29"/>
  <c r="H127" i="29"/>
  <c r="H34" i="29"/>
  <c r="H172" i="29"/>
  <c r="G125" i="53"/>
  <c r="G184" i="53"/>
  <c r="F214" i="55"/>
  <c r="D115" i="55"/>
  <c r="F166" i="55" s="1"/>
  <c r="F110" i="81"/>
  <c r="F27" i="53"/>
  <c r="F73" i="53" s="1"/>
  <c r="C35" i="72"/>
  <c r="E156" i="72"/>
  <c r="C12" i="72"/>
  <c r="F44" i="81"/>
  <c r="E13" i="55"/>
  <c r="E65" i="55" s="1"/>
  <c r="F77" i="81"/>
  <c r="E23" i="72"/>
  <c r="E47" i="72" s="1"/>
  <c r="G96" i="81"/>
  <c r="G13" i="53"/>
  <c r="G59" i="53" s="1"/>
  <c r="F42" i="81"/>
  <c r="E11" i="55"/>
  <c r="F70" i="81"/>
  <c r="E16" i="72"/>
  <c r="E40" i="72" s="1"/>
  <c r="G176" i="53"/>
  <c r="G117" i="53"/>
  <c r="G20" i="21"/>
  <c r="J51" i="61"/>
  <c r="I45" i="42"/>
  <c r="I47" i="42" s="1"/>
  <c r="G116" i="53"/>
  <c r="G175" i="53"/>
  <c r="F215" i="55"/>
  <c r="D116" i="55"/>
  <c r="F167" i="55" s="1"/>
  <c r="G92" i="81"/>
  <c r="G9" i="53"/>
  <c r="G55" i="53" s="1"/>
  <c r="F45" i="81"/>
  <c r="E14" i="55"/>
  <c r="E66" i="55" s="1"/>
  <c r="F213" i="55"/>
  <c r="D114" i="55"/>
  <c r="F165" i="55" s="1"/>
  <c r="F218" i="55"/>
  <c r="D119" i="55"/>
  <c r="F170" i="55" s="1"/>
  <c r="G19" i="53"/>
  <c r="G65" i="53" s="1"/>
  <c r="G102" i="81"/>
  <c r="F83" i="81"/>
  <c r="E29" i="72"/>
  <c r="E53" i="72" s="1"/>
  <c r="D78" i="72"/>
  <c r="F154" i="72"/>
  <c r="D79" i="72"/>
  <c r="F48" i="81"/>
  <c r="E17" i="55"/>
  <c r="E69" i="55" s="1"/>
  <c r="F219" i="55"/>
  <c r="D120" i="55"/>
  <c r="F171" i="55" s="1"/>
  <c r="D113" i="55"/>
  <c r="F164" i="55" s="1"/>
  <c r="F212" i="55"/>
  <c r="F79" i="81"/>
  <c r="E25" i="72"/>
  <c r="E49" i="72" s="1"/>
  <c r="D128" i="55"/>
  <c r="F179" i="55" s="1"/>
  <c r="F227" i="55"/>
  <c r="H189" i="53"/>
  <c r="H130" i="53"/>
  <c r="G120" i="53"/>
  <c r="G179" i="53"/>
  <c r="E59" i="81"/>
  <c r="D28" i="55"/>
  <c r="D80" i="55" s="1"/>
  <c r="F217" i="55"/>
  <c r="D118" i="55"/>
  <c r="F169" i="55" s="1"/>
  <c r="G223" i="55"/>
  <c r="E124" i="55"/>
  <c r="G175" i="55" s="1"/>
  <c r="H33" i="21"/>
  <c r="G82" i="81"/>
  <c r="F28" i="72"/>
  <c r="F52" i="72" s="1"/>
  <c r="F112" i="81"/>
  <c r="F29" i="53"/>
  <c r="F75" i="53" s="1"/>
  <c r="G181" i="53"/>
  <c r="G122" i="53"/>
  <c r="D37" i="72"/>
  <c r="F193" i="53"/>
  <c r="F134" i="53"/>
  <c r="F78" i="81"/>
  <c r="E24" i="72"/>
  <c r="E48" i="72" s="1"/>
  <c r="F74" i="81"/>
  <c r="E20" i="72"/>
  <c r="E44" i="72" s="1"/>
  <c r="H30" i="21"/>
  <c r="E226" i="55"/>
  <c r="C127" i="55"/>
  <c r="E178" i="55" s="1"/>
  <c r="F222" i="55"/>
  <c r="D123" i="55"/>
  <c r="F174" i="55" s="1"/>
  <c r="F209" i="55"/>
  <c r="D110" i="55"/>
  <c r="F161" i="55" s="1"/>
  <c r="G129" i="53"/>
  <c r="G188" i="53"/>
  <c r="F221" i="55"/>
  <c r="D122" i="55"/>
  <c r="F173" i="55" s="1"/>
  <c r="F80" i="81"/>
  <c r="E26" i="72"/>
  <c r="E50" i="72" s="1"/>
  <c r="C109" i="55"/>
  <c r="E208" i="55"/>
  <c r="G115" i="53"/>
  <c r="G174" i="53"/>
  <c r="D112" i="55"/>
  <c r="F163" i="55" s="1"/>
  <c r="F211" i="55"/>
  <c r="F52" i="81"/>
  <c r="E21" i="55"/>
  <c r="E73" i="55" s="1"/>
  <c r="K38" i="61"/>
  <c r="H10" i="21"/>
  <c r="F54" i="81"/>
  <c r="E23" i="55"/>
  <c r="E75" i="55" s="1"/>
  <c r="E225" i="55"/>
  <c r="C126" i="55"/>
  <c r="E177" i="55" s="1"/>
  <c r="G103" i="81"/>
  <c r="G20" i="53"/>
  <c r="G66" i="53" s="1"/>
  <c r="F68" i="81"/>
  <c r="E14" i="72"/>
  <c r="E38" i="72" s="1"/>
  <c r="G94" i="81"/>
  <c r="G11" i="53"/>
  <c r="G57" i="53" s="1"/>
  <c r="F75" i="81"/>
  <c r="E21" i="72"/>
  <c r="E45" i="72" s="1"/>
  <c r="G10" i="53"/>
  <c r="G56" i="53" s="1"/>
  <c r="G93" i="81"/>
  <c r="F49" i="81"/>
  <c r="E18" i="55"/>
  <c r="E70" i="55" s="1"/>
  <c r="C129" i="55"/>
  <c r="E180" i="55" s="1"/>
  <c r="E228" i="55"/>
  <c r="F47" i="81"/>
  <c r="E16" i="55"/>
  <c r="E68" i="55" s="1"/>
  <c r="H66" i="83"/>
  <c r="H13" i="84" s="1"/>
  <c r="G13" i="84"/>
  <c r="E84" i="81"/>
  <c r="D30" i="72"/>
  <c r="D54" i="72" s="1"/>
  <c r="F72" i="81"/>
  <c r="E18" i="72"/>
  <c r="E42" i="72" s="1"/>
  <c r="F53" i="81"/>
  <c r="E22" i="55"/>
  <c r="E74" i="55" s="1"/>
  <c r="F46" i="81"/>
  <c r="E15" i="55"/>
  <c r="E67" i="55" s="1"/>
  <c r="D146" i="72"/>
  <c r="D148" i="72" s="1"/>
  <c r="D159" i="72"/>
  <c r="G186" i="53"/>
  <c r="G127" i="53"/>
  <c r="F61" i="81"/>
  <c r="E30" i="55"/>
  <c r="E82" i="55" s="1"/>
  <c r="H107" i="81"/>
  <c r="I24" i="53" s="1"/>
  <c r="I70" i="53" s="1"/>
  <c r="H24" i="53"/>
  <c r="H70" i="53" s="1"/>
  <c r="G14" i="53"/>
  <c r="G60" i="53" s="1"/>
  <c r="G97" i="81"/>
  <c r="D125" i="55"/>
  <c r="F176" i="55" s="1"/>
  <c r="F224" i="55"/>
  <c r="G183" i="53"/>
  <c r="G124" i="53"/>
  <c r="F51" i="81"/>
  <c r="E20" i="55"/>
  <c r="E72" i="55" s="1"/>
  <c r="D160" i="55"/>
  <c r="D254" i="55"/>
  <c r="D255" i="55"/>
  <c r="G57" i="81"/>
  <c r="F26" i="55"/>
  <c r="F78" i="55" s="1"/>
  <c r="E160" i="72"/>
  <c r="E141" i="72"/>
  <c r="E161" i="72"/>
  <c r="G16" i="53"/>
  <c r="G62" i="53" s="1"/>
  <c r="G99" i="81"/>
  <c r="F67" i="81"/>
  <c r="E13" i="72"/>
  <c r="F111" i="81"/>
  <c r="F28" i="53"/>
  <c r="F74" i="53" s="1"/>
  <c r="G180" i="53"/>
  <c r="G121" i="53"/>
  <c r="E60" i="81"/>
  <c r="D29" i="55"/>
  <c r="D81" i="55" s="1"/>
  <c r="F56" i="81"/>
  <c r="E25" i="55"/>
  <c r="E77" i="55" s="1"/>
  <c r="F43" i="81"/>
  <c r="E12" i="55"/>
  <c r="E64" i="55" s="1"/>
  <c r="G23" i="53"/>
  <c r="G69" i="53" s="1"/>
  <c r="G106" i="81"/>
  <c r="F55" i="81"/>
  <c r="E24" i="55"/>
  <c r="E76" i="55" s="1"/>
  <c r="E22" i="72"/>
  <c r="E46" i="72" s="1"/>
  <c r="F76" i="81"/>
  <c r="E27" i="72"/>
  <c r="E51" i="72" s="1"/>
  <c r="F81" i="81"/>
  <c r="H32" i="21"/>
  <c r="F69" i="81"/>
  <c r="E15" i="72"/>
  <c r="E39" i="72" s="1"/>
  <c r="F50" i="81"/>
  <c r="E19" i="55"/>
  <c r="E71" i="55" s="1"/>
  <c r="G25" i="53"/>
  <c r="G71" i="53" s="1"/>
  <c r="G108" i="81"/>
  <c r="G12" i="53"/>
  <c r="G58" i="53" s="1"/>
  <c r="G95" i="81"/>
  <c r="F135" i="53"/>
  <c r="F194" i="53"/>
  <c r="E85" i="81"/>
  <c r="D31" i="72"/>
  <c r="D55" i="72" s="1"/>
  <c r="F51" i="22"/>
  <c r="G187" i="53"/>
  <c r="G128" i="53"/>
  <c r="C33" i="55"/>
  <c r="G33" i="21"/>
  <c r="G36" i="21" s="1"/>
  <c r="E62" i="81"/>
  <c r="D31" i="55"/>
  <c r="D83" i="55" s="1"/>
  <c r="F71" i="81"/>
  <c r="E17" i="72"/>
  <c r="E41" i="72" s="1"/>
  <c r="E144" i="72"/>
  <c r="E140" i="72"/>
  <c r="H35" i="21"/>
  <c r="F73" i="81"/>
  <c r="E19" i="72"/>
  <c r="E43" i="72" s="1"/>
  <c r="F192" i="53"/>
  <c r="F133" i="53"/>
  <c r="D121" i="55"/>
  <c r="F172" i="55" s="1"/>
  <c r="F220" i="55"/>
  <c r="D157" i="72"/>
  <c r="D158" i="72"/>
  <c r="G21" i="53"/>
  <c r="G67" i="53" s="1"/>
  <c r="G104" i="81"/>
  <c r="B60" i="55"/>
  <c r="D182" i="55" s="1"/>
  <c r="B10" i="55"/>
  <c r="F58" i="81"/>
  <c r="E27" i="55"/>
  <c r="E79" i="55" s="1"/>
  <c r="G101" i="81"/>
  <c r="G18" i="53"/>
  <c r="G64" i="53" s="1"/>
  <c r="D117" i="55"/>
  <c r="F168" i="55" s="1"/>
  <c r="F216" i="55"/>
  <c r="G190" i="53"/>
  <c r="G131" i="53"/>
  <c r="F210" i="55"/>
  <c r="D111" i="55"/>
  <c r="F162" i="55" s="1"/>
  <c r="G177" i="53"/>
  <c r="G118" i="53"/>
  <c r="G185" i="53"/>
  <c r="G126" i="53"/>
  <c r="G98" i="81"/>
  <c r="G15" i="53"/>
  <c r="G61" i="53" s="1"/>
  <c r="F152" i="72"/>
  <c r="D95" i="72"/>
  <c r="F139" i="72" s="1"/>
  <c r="D96" i="72"/>
  <c r="G178" i="53"/>
  <c r="G119" i="53"/>
  <c r="D63" i="55"/>
  <c r="D63" i="72"/>
  <c r="F153" i="72"/>
  <c r="D64" i="72"/>
  <c r="F155" i="72"/>
  <c r="D70" i="72"/>
  <c r="F142" i="72" s="1"/>
  <c r="D71" i="72"/>
  <c r="E15" i="84"/>
  <c r="E46" i="84" s="1"/>
  <c r="E75" i="84" s="1"/>
  <c r="F68" i="83"/>
  <c r="F44" i="83"/>
  <c r="E37" i="55"/>
  <c r="E89" i="55" s="1"/>
  <c r="F234" i="55"/>
  <c r="D135" i="55"/>
  <c r="F187" i="55" s="1"/>
  <c r="G200" i="53"/>
  <c r="G141" i="53"/>
  <c r="G35" i="53"/>
  <c r="G81" i="53" s="1"/>
  <c r="D160" i="53"/>
  <c r="D217" i="53"/>
  <c r="F46" i="83"/>
  <c r="E39" i="55"/>
  <c r="E91" i="55" s="1"/>
  <c r="B96" i="55"/>
  <c r="B56" i="55"/>
  <c r="D221" i="53"/>
  <c r="D164" i="53"/>
  <c r="F21" i="84"/>
  <c r="F52" i="84" s="1"/>
  <c r="E18" i="84"/>
  <c r="E49" i="84" s="1"/>
  <c r="F248" i="55"/>
  <c r="D150" i="55"/>
  <c r="F202" i="55" s="1"/>
  <c r="F45" i="53"/>
  <c r="E35" i="84"/>
  <c r="E63" i="84" s="1"/>
  <c r="F236" i="55"/>
  <c r="D137" i="55"/>
  <c r="F189" i="55" s="1"/>
  <c r="G37" i="53"/>
  <c r="G83" i="53" s="1"/>
  <c r="G34" i="53"/>
  <c r="G80" i="53" s="1"/>
  <c r="D224" i="53"/>
  <c r="I33" i="53"/>
  <c r="I79" i="53" s="1"/>
  <c r="H33" i="53"/>
  <c r="H79" i="53" s="1"/>
  <c r="E36" i="84"/>
  <c r="E64" i="84" s="1"/>
  <c r="C57" i="84"/>
  <c r="G153" i="53"/>
  <c r="G211" i="53"/>
  <c r="E207" i="53"/>
  <c r="E148" i="53"/>
  <c r="D103" i="53"/>
  <c r="D100" i="53"/>
  <c r="D99" i="53"/>
  <c r="D104" i="53"/>
  <c r="D101" i="53"/>
  <c r="F67" i="83"/>
  <c r="E14" i="84"/>
  <c r="F60" i="83"/>
  <c r="E52" i="55"/>
  <c r="E103" i="55" s="1"/>
  <c r="F62" i="83"/>
  <c r="E54" i="55"/>
  <c r="E105" i="55" s="1"/>
  <c r="B145" i="55"/>
  <c r="D197" i="55" s="1"/>
  <c r="D244" i="55"/>
  <c r="G213" i="53"/>
  <c r="G155" i="53"/>
  <c r="D125" i="84"/>
  <c r="D142" i="84" s="1"/>
  <c r="D124" i="84"/>
  <c r="D141" i="84" s="1"/>
  <c r="D126" i="84"/>
  <c r="D143" i="84" s="1"/>
  <c r="C56" i="84"/>
  <c r="F43" i="83"/>
  <c r="E36" i="55"/>
  <c r="E88" i="55" s="1"/>
  <c r="C22" i="84"/>
  <c r="G202" i="53"/>
  <c r="G143" i="53"/>
  <c r="D225" i="53"/>
  <c r="G142" i="53"/>
  <c r="G201" i="53"/>
  <c r="I41" i="53"/>
  <c r="I87" i="53" s="1"/>
  <c r="H41" i="53"/>
  <c r="H87" i="53" s="1"/>
  <c r="E44" i="53"/>
  <c r="E90" i="53" s="1"/>
  <c r="E42" i="55"/>
  <c r="E94" i="55" s="1"/>
  <c r="F49" i="83"/>
  <c r="E149" i="53"/>
  <c r="E208" i="53"/>
  <c r="E87" i="55"/>
  <c r="D33" i="84"/>
  <c r="F48" i="83"/>
  <c r="E41" i="55"/>
  <c r="E93" i="55" s="1"/>
  <c r="F235" i="55"/>
  <c r="D136" i="55"/>
  <c r="F188" i="55" s="1"/>
  <c r="D31" i="84"/>
  <c r="F61" i="83"/>
  <c r="E53" i="55"/>
  <c r="E104" i="55" s="1"/>
  <c r="D216" i="53"/>
  <c r="D159" i="53"/>
  <c r="H198" i="53"/>
  <c r="H139" i="53"/>
  <c r="G48" i="53"/>
  <c r="G93" i="53" s="1"/>
  <c r="E42" i="53"/>
  <c r="E88" i="53" s="1"/>
  <c r="C24" i="84"/>
  <c r="C55" i="84" s="1"/>
  <c r="C58" i="84"/>
  <c r="G204" i="53"/>
  <c r="G145" i="53"/>
  <c r="G203" i="53"/>
  <c r="G144" i="53"/>
  <c r="G205" i="53"/>
  <c r="G146" i="53"/>
  <c r="C47" i="55"/>
  <c r="C99" i="55" s="1"/>
  <c r="D54" i="83"/>
  <c r="G50" i="53"/>
  <c r="G95" i="53" s="1"/>
  <c r="E34" i="84"/>
  <c r="E62" i="84" s="1"/>
  <c r="B13" i="21"/>
  <c r="E39" i="61"/>
  <c r="B9" i="69" s="1"/>
  <c r="C31" i="68" s="1"/>
  <c r="F233" i="55"/>
  <c r="D134" i="55"/>
  <c r="F186" i="55" s="1"/>
  <c r="B53" i="84"/>
  <c r="G199" i="53"/>
  <c r="G140" i="53"/>
  <c r="F246" i="55"/>
  <c r="D148" i="55"/>
  <c r="F200" i="55" s="1"/>
  <c r="G42" i="83"/>
  <c r="F35" i="55"/>
  <c r="C23" i="84"/>
  <c r="C54" i="84" s="1"/>
  <c r="F46" i="53"/>
  <c r="F91" i="53" s="1"/>
  <c r="G151" i="53" s="1"/>
  <c r="F238" i="55"/>
  <c r="D139" i="55"/>
  <c r="F191" i="55" s="1"/>
  <c r="E38" i="55"/>
  <c r="E90" i="55" s="1"/>
  <c r="F45" i="83"/>
  <c r="F247" i="55"/>
  <c r="D149" i="55"/>
  <c r="F201" i="55" s="1"/>
  <c r="D165" i="53"/>
  <c r="D222" i="53"/>
  <c r="D53" i="83"/>
  <c r="C46" i="55"/>
  <c r="C98" i="55" s="1"/>
  <c r="E37" i="84"/>
  <c r="E65" i="84" s="1"/>
  <c r="G49" i="53"/>
  <c r="G94" i="53" s="1"/>
  <c r="E19" i="84"/>
  <c r="E50" i="84" s="1"/>
  <c r="G39" i="53"/>
  <c r="G85" i="53" s="1"/>
  <c r="G38" i="53"/>
  <c r="G84" i="53" s="1"/>
  <c r="G40" i="53"/>
  <c r="G86" i="53" s="1"/>
  <c r="E16" i="84"/>
  <c r="E47" i="84" s="1"/>
  <c r="F237" i="55"/>
  <c r="D138" i="55"/>
  <c r="F190" i="55" s="1"/>
  <c r="D32" i="84"/>
  <c r="C60" i="84"/>
  <c r="E17" i="84"/>
  <c r="E48" i="84" s="1"/>
  <c r="G240" i="55"/>
  <c r="E141" i="55"/>
  <c r="G193" i="55" s="1"/>
  <c r="D30" i="84"/>
  <c r="D61" i="84" s="1"/>
  <c r="E185" i="55"/>
  <c r="D243" i="55"/>
  <c r="B144" i="55"/>
  <c r="D196" i="55" s="1"/>
  <c r="G154" i="53"/>
  <c r="G212" i="53"/>
  <c r="G152" i="53"/>
  <c r="G210" i="53"/>
  <c r="D52" i="83"/>
  <c r="C45" i="55"/>
  <c r="C97" i="55" s="1"/>
  <c r="F59" i="83"/>
  <c r="E51" i="55"/>
  <c r="E102" i="55" s="1"/>
  <c r="F47" i="83"/>
  <c r="E40" i="55"/>
  <c r="E92" i="55" s="1"/>
  <c r="F232" i="55"/>
  <c r="D133" i="55"/>
  <c r="D51" i="83"/>
  <c r="C44" i="55"/>
  <c r="E55" i="83"/>
  <c r="D161" i="53"/>
  <c r="D218" i="53"/>
  <c r="G36" i="53"/>
  <c r="G82" i="53" s="1"/>
  <c r="C59" i="84"/>
  <c r="G47" i="53"/>
  <c r="G92" i="53" s="1"/>
  <c r="D242" i="55"/>
  <c r="B143" i="55"/>
  <c r="D195" i="55" s="1"/>
  <c r="F245" i="55"/>
  <c r="D147" i="55"/>
  <c r="F199" i="55" s="1"/>
  <c r="M172" i="55"/>
  <c r="M173" i="55" s="1"/>
  <c r="M174" i="55" s="1"/>
  <c r="H206" i="53"/>
  <c r="H147" i="53"/>
  <c r="E209" i="53"/>
  <c r="E150" i="53"/>
  <c r="E20" i="84"/>
  <c r="E51" i="84" s="1"/>
  <c r="F239" i="55"/>
  <c r="D140" i="55"/>
  <c r="F192" i="55" s="1"/>
  <c r="G50" i="83"/>
  <c r="F43" i="55"/>
  <c r="F95" i="55" s="1"/>
  <c r="E43" i="53"/>
  <c r="E89" i="53" s="1"/>
  <c r="E61" i="22"/>
  <c r="F57" i="22"/>
  <c r="E45" i="22"/>
  <c r="D67" i="22"/>
  <c r="F63" i="22"/>
  <c r="E58" i="22"/>
  <c r="G39" i="22"/>
  <c r="E40" i="22"/>
  <c r="D11" i="29"/>
  <c r="C60" i="29"/>
  <c r="B96" i="22"/>
  <c r="C45" i="29"/>
  <c r="D96" i="29"/>
  <c r="M64" i="22"/>
  <c r="N61" i="22" s="1"/>
  <c r="N62" i="22" s="1"/>
  <c r="N63" i="22" s="1"/>
  <c r="N39" i="22"/>
  <c r="O38" i="22"/>
  <c r="E43" i="22"/>
  <c r="D68" i="22"/>
  <c r="M58" i="22"/>
  <c r="N55" i="22" s="1"/>
  <c r="L44" i="22"/>
  <c r="L65" i="22"/>
  <c r="M50" i="22"/>
  <c r="M52" i="22" s="1"/>
  <c r="F49" i="22"/>
  <c r="C13" i="69" l="1"/>
  <c r="L46" i="22"/>
  <c r="J45" i="42"/>
  <c r="J47" i="42" s="1"/>
  <c r="H21" i="21"/>
  <c r="K57" i="48"/>
  <c r="K59" i="48"/>
  <c r="H11" i="21"/>
  <c r="K51" i="61"/>
  <c r="H20" i="21"/>
  <c r="H35" i="29"/>
  <c r="H158" i="29"/>
  <c r="H173" i="29"/>
  <c r="H143" i="29"/>
  <c r="H128" i="29"/>
  <c r="G51" i="22"/>
  <c r="F155" i="84"/>
  <c r="F159" i="84" s="1"/>
  <c r="H163" i="84"/>
  <c r="G44" i="84"/>
  <c r="G67" i="84" s="1"/>
  <c r="I163" i="84" s="1"/>
  <c r="H44" i="84"/>
  <c r="H67" i="84" s="1"/>
  <c r="J154" i="84" s="1"/>
  <c r="E45" i="84"/>
  <c r="E71" i="84" s="1"/>
  <c r="G164" i="84" s="1"/>
  <c r="E39" i="84"/>
  <c r="G156" i="84"/>
  <c r="G165" i="84"/>
  <c r="H36" i="21"/>
  <c r="M170" i="84"/>
  <c r="M172" i="84" s="1"/>
  <c r="B9" i="21"/>
  <c r="E37" i="61"/>
  <c r="D109" i="55"/>
  <c r="F208" i="55"/>
  <c r="G221" i="55"/>
  <c r="E122" i="55"/>
  <c r="G173" i="55" s="1"/>
  <c r="F226" i="55"/>
  <c r="D127" i="55"/>
  <c r="F178" i="55" s="1"/>
  <c r="H99" i="81"/>
  <c r="I16" i="53" s="1"/>
  <c r="I62" i="53" s="1"/>
  <c r="H16" i="53"/>
  <c r="H62" i="53" s="1"/>
  <c r="G227" i="55"/>
  <c r="E128" i="55"/>
  <c r="G179" i="55" s="1"/>
  <c r="E116" i="55"/>
  <c r="G167" i="55" s="1"/>
  <c r="G215" i="55"/>
  <c r="G153" i="72"/>
  <c r="E64" i="72"/>
  <c r="E63" i="72"/>
  <c r="E121" i="55"/>
  <c r="G172" i="55" s="1"/>
  <c r="G220" i="55"/>
  <c r="G83" i="81"/>
  <c r="F29" i="72"/>
  <c r="F53" i="72" s="1"/>
  <c r="G77" i="81"/>
  <c r="F23" i="72"/>
  <c r="F47" i="72" s="1"/>
  <c r="E125" i="55"/>
  <c r="G176" i="55" s="1"/>
  <c r="G224" i="55"/>
  <c r="H104" i="81"/>
  <c r="I21" i="53" s="1"/>
  <c r="I67" i="53" s="1"/>
  <c r="H21" i="53"/>
  <c r="H67" i="53" s="1"/>
  <c r="D129" i="55"/>
  <c r="F180" i="55" s="1"/>
  <c r="F228" i="55"/>
  <c r="C10" i="55"/>
  <c r="C60" i="55"/>
  <c r="E182" i="55" s="1"/>
  <c r="H190" i="53"/>
  <c r="H131" i="53"/>
  <c r="G69" i="81"/>
  <c r="F15" i="72"/>
  <c r="F39" i="72" s="1"/>
  <c r="G55" i="81"/>
  <c r="F24" i="55"/>
  <c r="F76" i="55" s="1"/>
  <c r="G43" i="81"/>
  <c r="F12" i="55"/>
  <c r="F64" i="55" s="1"/>
  <c r="F60" i="81"/>
  <c r="E29" i="55"/>
  <c r="E81" i="55" s="1"/>
  <c r="G28" i="53"/>
  <c r="G74" i="53" s="1"/>
  <c r="G111" i="81"/>
  <c r="H181" i="53"/>
  <c r="H122" i="53"/>
  <c r="H223" i="55"/>
  <c r="F124" i="55"/>
  <c r="H175" i="55" s="1"/>
  <c r="H179" i="53"/>
  <c r="H120" i="53"/>
  <c r="G61" i="81"/>
  <c r="F30" i="55"/>
  <c r="F82" i="55" s="1"/>
  <c r="G53" i="81"/>
  <c r="F22" i="55"/>
  <c r="F74" i="55" s="1"/>
  <c r="F84" i="81"/>
  <c r="E30" i="72"/>
  <c r="E54" i="72" s="1"/>
  <c r="G47" i="81"/>
  <c r="F16" i="55"/>
  <c r="F68" i="55" s="1"/>
  <c r="G49" i="81"/>
  <c r="F18" i="55"/>
  <c r="F70" i="55" s="1"/>
  <c r="G75" i="81"/>
  <c r="F21" i="72"/>
  <c r="F45" i="72" s="1"/>
  <c r="F14" i="72"/>
  <c r="F38" i="72" s="1"/>
  <c r="G68" i="81"/>
  <c r="G54" i="81"/>
  <c r="F23" i="55"/>
  <c r="F75" i="55" s="1"/>
  <c r="E254" i="55"/>
  <c r="E255" i="55"/>
  <c r="E160" i="55"/>
  <c r="G74" i="81"/>
  <c r="F20" i="72"/>
  <c r="F44" i="72" s="1"/>
  <c r="H82" i="81"/>
  <c r="H28" i="72" s="1"/>
  <c r="H52" i="72" s="1"/>
  <c r="G28" i="72"/>
  <c r="G52" i="72" s="1"/>
  <c r="F59" i="81"/>
  <c r="E28" i="55"/>
  <c r="E80" i="55" s="1"/>
  <c r="G79" i="81"/>
  <c r="F25" i="72"/>
  <c r="F49" i="72" s="1"/>
  <c r="H102" i="81"/>
  <c r="I19" i="53" s="1"/>
  <c r="I65" i="53" s="1"/>
  <c r="H19" i="53"/>
  <c r="H65" i="53" s="1"/>
  <c r="H174" i="53"/>
  <c r="H115" i="53"/>
  <c r="G155" i="72"/>
  <c r="E71" i="72"/>
  <c r="E70" i="72"/>
  <c r="G142" i="72" s="1"/>
  <c r="H178" i="53"/>
  <c r="H119" i="53"/>
  <c r="G210" i="55"/>
  <c r="E111" i="55"/>
  <c r="G162" i="55" s="1"/>
  <c r="E159" i="72"/>
  <c r="E146" i="72"/>
  <c r="E148" i="72" s="1"/>
  <c r="H187" i="53"/>
  <c r="H128" i="53"/>
  <c r="H18" i="53"/>
  <c r="H64" i="53" s="1"/>
  <c r="H101" i="81"/>
  <c r="I18" i="53" s="1"/>
  <c r="I64" i="53" s="1"/>
  <c r="H108" i="81"/>
  <c r="I25" i="53" s="1"/>
  <c r="I71" i="53" s="1"/>
  <c r="H25" i="53"/>
  <c r="H71" i="53" s="1"/>
  <c r="G209" i="55"/>
  <c r="E110" i="55"/>
  <c r="G161" i="55" s="1"/>
  <c r="H97" i="81"/>
  <c r="I14" i="53" s="1"/>
  <c r="I60" i="53" s="1"/>
  <c r="H14" i="53"/>
  <c r="H60" i="53" s="1"/>
  <c r="G213" i="55"/>
  <c r="E114" i="55"/>
  <c r="G165" i="55" s="1"/>
  <c r="H149" i="29"/>
  <c r="H134" i="29"/>
  <c r="H164" i="29"/>
  <c r="H24" i="68"/>
  <c r="H179" i="29"/>
  <c r="F225" i="55"/>
  <c r="D126" i="55"/>
  <c r="F177" i="55" s="1"/>
  <c r="G45" i="81"/>
  <c r="F14" i="55"/>
  <c r="F66" i="55" s="1"/>
  <c r="G42" i="81"/>
  <c r="F11" i="55"/>
  <c r="F140" i="72"/>
  <c r="F144" i="72"/>
  <c r="H180" i="53"/>
  <c r="H121" i="53"/>
  <c r="F27" i="55"/>
  <c r="F79" i="55" s="1"/>
  <c r="G58" i="81"/>
  <c r="H186" i="53"/>
  <c r="H127" i="53"/>
  <c r="F19" i="72"/>
  <c r="F43" i="72" s="1"/>
  <c r="G73" i="81"/>
  <c r="F62" i="81"/>
  <c r="E31" i="55"/>
  <c r="E83" i="55" s="1"/>
  <c r="H95" i="81"/>
  <c r="I12" i="53" s="1"/>
  <c r="I58" i="53" s="1"/>
  <c r="H12" i="53"/>
  <c r="H58" i="53" s="1"/>
  <c r="E117" i="55"/>
  <c r="G168" i="55" s="1"/>
  <c r="G216" i="55"/>
  <c r="G76" i="81"/>
  <c r="F22" i="72"/>
  <c r="F46" i="72" s="1"/>
  <c r="H106" i="81"/>
  <c r="I23" i="53" s="1"/>
  <c r="I69" i="53" s="1"/>
  <c r="H23" i="53"/>
  <c r="H69" i="53" s="1"/>
  <c r="G222" i="55"/>
  <c r="E123" i="55"/>
  <c r="G174" i="55" s="1"/>
  <c r="E37" i="72"/>
  <c r="G26" i="55"/>
  <c r="G78" i="55" s="1"/>
  <c r="H57" i="81"/>
  <c r="H26" i="55" s="1"/>
  <c r="H78" i="55" s="1"/>
  <c r="G217" i="55"/>
  <c r="E118" i="55"/>
  <c r="G169" i="55" s="1"/>
  <c r="I189" i="53"/>
  <c r="I130" i="53"/>
  <c r="E113" i="55"/>
  <c r="G164" i="55" s="1"/>
  <c r="G212" i="55"/>
  <c r="E78" i="72"/>
  <c r="G154" i="72"/>
  <c r="E79" i="72"/>
  <c r="H93" i="81"/>
  <c r="I10" i="53" s="1"/>
  <c r="I56" i="53" s="1"/>
  <c r="H10" i="53"/>
  <c r="H56" i="53" s="1"/>
  <c r="H176" i="53"/>
  <c r="H117" i="53"/>
  <c r="H126" i="53"/>
  <c r="H185" i="53"/>
  <c r="I172" i="29"/>
  <c r="I157" i="29"/>
  <c r="I142" i="29"/>
  <c r="I127" i="29"/>
  <c r="I34" i="29"/>
  <c r="G218" i="55"/>
  <c r="E119" i="55"/>
  <c r="G170" i="55" s="1"/>
  <c r="G194" i="53"/>
  <c r="G135" i="53"/>
  <c r="G214" i="55"/>
  <c r="E115" i="55"/>
  <c r="G166" i="55" s="1"/>
  <c r="F141" i="72"/>
  <c r="F160" i="72"/>
  <c r="F161" i="72"/>
  <c r="H184" i="53"/>
  <c r="H125" i="53"/>
  <c r="H92" i="81"/>
  <c r="I9" i="53" s="1"/>
  <c r="I55" i="53" s="1"/>
  <c r="H9" i="53"/>
  <c r="H55" i="53" s="1"/>
  <c r="G70" i="81"/>
  <c r="F16" i="72"/>
  <c r="F40" i="72" s="1"/>
  <c r="H13" i="53"/>
  <c r="H59" i="53" s="1"/>
  <c r="H96" i="81"/>
  <c r="I13" i="53" s="1"/>
  <c r="I59" i="53" s="1"/>
  <c r="G44" i="81"/>
  <c r="F13" i="55"/>
  <c r="F65" i="55" s="1"/>
  <c r="G133" i="53"/>
  <c r="G192" i="53"/>
  <c r="H22" i="53"/>
  <c r="H68" i="53" s="1"/>
  <c r="H105" i="81"/>
  <c r="I22" i="53" s="1"/>
  <c r="I68" i="53" s="1"/>
  <c r="G71" i="81"/>
  <c r="F17" i="72"/>
  <c r="F41" i="72" s="1"/>
  <c r="G81" i="81"/>
  <c r="F27" i="72"/>
  <c r="F51" i="72" s="1"/>
  <c r="G134" i="53"/>
  <c r="G193" i="53"/>
  <c r="E120" i="55"/>
  <c r="G171" i="55" s="1"/>
  <c r="G219" i="55"/>
  <c r="D33" i="55"/>
  <c r="H98" i="81"/>
  <c r="I15" i="53" s="1"/>
  <c r="I61" i="53" s="1"/>
  <c r="H15" i="53"/>
  <c r="H61" i="53" s="1"/>
  <c r="H183" i="53"/>
  <c r="H124" i="53"/>
  <c r="D252" i="55"/>
  <c r="D253" i="55"/>
  <c r="E17" i="61"/>
  <c r="F85" i="81"/>
  <c r="E31" i="72"/>
  <c r="E55" i="72" s="1"/>
  <c r="H177" i="53"/>
  <c r="H118" i="53"/>
  <c r="F19" i="55"/>
  <c r="F71" i="55" s="1"/>
  <c r="G50" i="81"/>
  <c r="H188" i="53"/>
  <c r="H129" i="53"/>
  <c r="G56" i="81"/>
  <c r="F25" i="55"/>
  <c r="F77" i="55" s="1"/>
  <c r="G67" i="81"/>
  <c r="F13" i="72"/>
  <c r="G51" i="81"/>
  <c r="F20" i="55"/>
  <c r="F72" i="55" s="1"/>
  <c r="J189" i="53"/>
  <c r="J130" i="53"/>
  <c r="G46" i="81"/>
  <c r="F15" i="55"/>
  <c r="F67" i="55" s="1"/>
  <c r="G72" i="81"/>
  <c r="F18" i="72"/>
  <c r="F42" i="72" s="1"/>
  <c r="H175" i="53"/>
  <c r="H116" i="53"/>
  <c r="H94" i="81"/>
  <c r="I11" i="53" s="1"/>
  <c r="I57" i="53" s="1"/>
  <c r="H11" i="53"/>
  <c r="H57" i="53" s="1"/>
  <c r="H103" i="81"/>
  <c r="I20" i="53" s="1"/>
  <c r="I66" i="53" s="1"/>
  <c r="H20" i="53"/>
  <c r="H66" i="53" s="1"/>
  <c r="G52" i="81"/>
  <c r="F21" i="55"/>
  <c r="F73" i="55" s="1"/>
  <c r="G80" i="81"/>
  <c r="F26" i="72"/>
  <c r="F50" i="72" s="1"/>
  <c r="F24" i="72"/>
  <c r="F48" i="72" s="1"/>
  <c r="G78" i="81"/>
  <c r="D32" i="72"/>
  <c r="G112" i="81"/>
  <c r="G29" i="53"/>
  <c r="G75" i="53" s="1"/>
  <c r="G48" i="81"/>
  <c r="F17" i="55"/>
  <c r="F69" i="55" s="1"/>
  <c r="G211" i="55"/>
  <c r="E112" i="55"/>
  <c r="G163" i="55" s="1"/>
  <c r="E63" i="55"/>
  <c r="G152" i="72"/>
  <c r="E95" i="72"/>
  <c r="G139" i="72" s="1"/>
  <c r="E96" i="72"/>
  <c r="E157" i="72"/>
  <c r="E158" i="72"/>
  <c r="G110" i="81"/>
  <c r="G27" i="53"/>
  <c r="G73" i="53" s="1"/>
  <c r="H200" i="53"/>
  <c r="H141" i="53"/>
  <c r="G234" i="55"/>
  <c r="E135" i="55"/>
  <c r="G187" i="55" s="1"/>
  <c r="I35" i="53"/>
  <c r="I81" i="53" s="1"/>
  <c r="H35" i="53"/>
  <c r="H81" i="53" s="1"/>
  <c r="F37" i="55"/>
  <c r="F89" i="55" s="1"/>
  <c r="G44" i="83"/>
  <c r="E224" i="53"/>
  <c r="G68" i="83"/>
  <c r="F15" i="84"/>
  <c r="F46" i="84" s="1"/>
  <c r="F75" i="84" s="1"/>
  <c r="D168" i="53"/>
  <c r="F55" i="83"/>
  <c r="D60" i="84"/>
  <c r="F37" i="84"/>
  <c r="F65" i="84" s="1"/>
  <c r="H50" i="83"/>
  <c r="H43" i="55" s="1"/>
  <c r="H95" i="55" s="1"/>
  <c r="G43" i="55"/>
  <c r="G95" i="55" s="1"/>
  <c r="E53" i="83"/>
  <c r="D46" i="55"/>
  <c r="D98" i="55" s="1"/>
  <c r="G46" i="53"/>
  <c r="G91" i="53" s="1"/>
  <c r="H151" i="53" s="1"/>
  <c r="F34" i="84"/>
  <c r="F62" i="84" s="1"/>
  <c r="D58" i="84"/>
  <c r="E225" i="53"/>
  <c r="I37" i="53"/>
  <c r="I83" i="53" s="1"/>
  <c r="H37" i="53"/>
  <c r="H83" i="53" s="1"/>
  <c r="F39" i="61"/>
  <c r="C9" i="69" s="1"/>
  <c r="D31" i="68" s="1"/>
  <c r="C13" i="21"/>
  <c r="G245" i="55"/>
  <c r="E147" i="55"/>
  <c r="G199" i="55" s="1"/>
  <c r="F17" i="84"/>
  <c r="F48" i="84" s="1"/>
  <c r="H205" i="53"/>
  <c r="H146" i="53"/>
  <c r="D23" i="84"/>
  <c r="D54" i="84" s="1"/>
  <c r="H213" i="53"/>
  <c r="H155" i="53"/>
  <c r="D24" i="84"/>
  <c r="D55" i="84" s="1"/>
  <c r="H211" i="53"/>
  <c r="H153" i="53"/>
  <c r="G232" i="55"/>
  <c r="E133" i="55"/>
  <c r="G49" i="83"/>
  <c r="F42" i="55"/>
  <c r="F94" i="55" s="1"/>
  <c r="D22" i="84"/>
  <c r="F52" i="55"/>
  <c r="F103" i="55" s="1"/>
  <c r="G60" i="83"/>
  <c r="D57" i="84"/>
  <c r="F35" i="84"/>
  <c r="F63" i="84" s="1"/>
  <c r="F43" i="53"/>
  <c r="F89" i="53" s="1"/>
  <c r="I36" i="53"/>
  <c r="I82" i="53" s="1"/>
  <c r="H36" i="53"/>
  <c r="H82" i="53" s="1"/>
  <c r="D45" i="55"/>
  <c r="D97" i="55" s="1"/>
  <c r="E52" i="83"/>
  <c r="F42" i="53"/>
  <c r="F88" i="53" s="1"/>
  <c r="E32" i="84"/>
  <c r="H39" i="53"/>
  <c r="H85" i="53" s="1"/>
  <c r="I39" i="53"/>
  <c r="I85" i="53" s="1"/>
  <c r="G235" i="55"/>
  <c r="E136" i="55"/>
  <c r="G188" i="55" s="1"/>
  <c r="I48" i="53"/>
  <c r="I93" i="53" s="1"/>
  <c r="H48" i="53"/>
  <c r="H93" i="53" s="1"/>
  <c r="J206" i="53"/>
  <c r="J147" i="53"/>
  <c r="C53" i="84"/>
  <c r="N169" i="84"/>
  <c r="G246" i="55"/>
  <c r="E148" i="55"/>
  <c r="G200" i="55" s="1"/>
  <c r="J198" i="53"/>
  <c r="J139" i="53"/>
  <c r="H210" i="53"/>
  <c r="H152" i="53"/>
  <c r="C96" i="55"/>
  <c r="C56" i="55"/>
  <c r="F185" i="55"/>
  <c r="F51" i="55"/>
  <c r="F102" i="55" s="1"/>
  <c r="G59" i="83"/>
  <c r="I40" i="53"/>
  <c r="I86" i="53" s="1"/>
  <c r="H40" i="53"/>
  <c r="H86" i="53" s="1"/>
  <c r="F19" i="84"/>
  <c r="F50" i="84" s="1"/>
  <c r="I50" i="53"/>
  <c r="I95" i="53" s="1"/>
  <c r="H50" i="53"/>
  <c r="H95" i="53" s="1"/>
  <c r="G247" i="55"/>
  <c r="E149" i="55"/>
  <c r="G201" i="55" s="1"/>
  <c r="G238" i="55"/>
  <c r="E139" i="55"/>
  <c r="G191" i="55" s="1"/>
  <c r="G239" i="55"/>
  <c r="E140" i="55"/>
  <c r="G192" i="55" s="1"/>
  <c r="G233" i="55"/>
  <c r="E134" i="55"/>
  <c r="G186" i="55" s="1"/>
  <c r="E218" i="53"/>
  <c r="E161" i="53"/>
  <c r="E164" i="53"/>
  <c r="E221" i="53"/>
  <c r="D241" i="55"/>
  <c r="B142" i="55"/>
  <c r="D59" i="84"/>
  <c r="G237" i="55"/>
  <c r="E138" i="55"/>
  <c r="G190" i="55" s="1"/>
  <c r="I38" i="53"/>
  <c r="I84" i="53" s="1"/>
  <c r="H38" i="53"/>
  <c r="H84" i="53" s="1"/>
  <c r="E244" i="55"/>
  <c r="C145" i="55"/>
  <c r="E197" i="55" s="1"/>
  <c r="F20" i="84"/>
  <c r="F51" i="84" s="1"/>
  <c r="I49" i="53"/>
  <c r="I94" i="53" s="1"/>
  <c r="H49" i="53"/>
  <c r="H94" i="53" s="1"/>
  <c r="F208" i="53"/>
  <c r="F149" i="53"/>
  <c r="H47" i="53"/>
  <c r="H92" i="53" s="1"/>
  <c r="I47" i="53"/>
  <c r="I92" i="53" s="1"/>
  <c r="H201" i="53"/>
  <c r="H142" i="53"/>
  <c r="E51" i="83"/>
  <c r="D44" i="55"/>
  <c r="E242" i="55"/>
  <c r="C143" i="55"/>
  <c r="E195" i="55" s="1"/>
  <c r="E30" i="84"/>
  <c r="E61" i="84" s="1"/>
  <c r="H203" i="53"/>
  <c r="H144" i="53"/>
  <c r="F87" i="55"/>
  <c r="D47" i="55"/>
  <c r="D99" i="55" s="1"/>
  <c r="E54" i="83"/>
  <c r="G61" i="83"/>
  <c r="F53" i="55"/>
  <c r="F104" i="55" s="1"/>
  <c r="G48" i="83"/>
  <c r="F41" i="55"/>
  <c r="F93" i="55" s="1"/>
  <c r="F209" i="53"/>
  <c r="F150" i="53"/>
  <c r="G43" i="83"/>
  <c r="F36" i="55"/>
  <c r="F88" i="55" s="1"/>
  <c r="E222" i="53"/>
  <c r="E165" i="53"/>
  <c r="F36" i="84"/>
  <c r="F64" i="84" s="1"/>
  <c r="H199" i="53"/>
  <c r="H140" i="53"/>
  <c r="F18" i="84"/>
  <c r="F49" i="84" s="1"/>
  <c r="G236" i="55"/>
  <c r="E137" i="55"/>
  <c r="G189" i="55" s="1"/>
  <c r="G35" i="55"/>
  <c r="H42" i="83"/>
  <c r="H35" i="55" s="1"/>
  <c r="B42" i="84"/>
  <c r="E33" i="84"/>
  <c r="F44" i="53"/>
  <c r="F90" i="53" s="1"/>
  <c r="E216" i="53"/>
  <c r="E159" i="53"/>
  <c r="H34" i="53"/>
  <c r="H80" i="53" s="1"/>
  <c r="I34" i="53"/>
  <c r="I80" i="53" s="1"/>
  <c r="H21" i="84"/>
  <c r="H52" i="84" s="1"/>
  <c r="G21" i="84"/>
  <c r="G52" i="84" s="1"/>
  <c r="G46" i="83"/>
  <c r="F39" i="55"/>
  <c r="F91" i="55" s="1"/>
  <c r="C130" i="29"/>
  <c r="C37" i="29"/>
  <c r="C175" i="29"/>
  <c r="C160" i="29"/>
  <c r="C145" i="29"/>
  <c r="G248" i="55"/>
  <c r="E150" i="55"/>
  <c r="G202" i="55" s="1"/>
  <c r="H240" i="55"/>
  <c r="F141" i="55"/>
  <c r="H193" i="55" s="1"/>
  <c r="F40" i="55"/>
  <c r="F92" i="55" s="1"/>
  <c r="G47" i="83"/>
  <c r="F16" i="84"/>
  <c r="F47" i="84" s="1"/>
  <c r="H204" i="53"/>
  <c r="H145" i="53"/>
  <c r="H212" i="53"/>
  <c r="H154" i="53"/>
  <c r="E243" i="55"/>
  <c r="C144" i="55"/>
  <c r="E196" i="55" s="1"/>
  <c r="F38" i="55"/>
  <c r="F90" i="55" s="1"/>
  <c r="G45" i="83"/>
  <c r="E124" i="84"/>
  <c r="E141" i="84" s="1"/>
  <c r="E125" i="84"/>
  <c r="E142" i="84" s="1"/>
  <c r="E126" i="84"/>
  <c r="E143" i="84" s="1"/>
  <c r="F148" i="53"/>
  <c r="F207" i="53"/>
  <c r="E100" i="53"/>
  <c r="E103" i="53"/>
  <c r="E104" i="53"/>
  <c r="E101" i="53"/>
  <c r="E99" i="53"/>
  <c r="E31" i="84"/>
  <c r="I206" i="53"/>
  <c r="I147" i="53"/>
  <c r="D56" i="84"/>
  <c r="G62" i="83"/>
  <c r="F54" i="55"/>
  <c r="F105" i="55" s="1"/>
  <c r="G67" i="83"/>
  <c r="F14" i="84"/>
  <c r="E160" i="53"/>
  <c r="E217" i="53"/>
  <c r="I198" i="53"/>
  <c r="I139" i="53"/>
  <c r="H202" i="53"/>
  <c r="H143" i="53"/>
  <c r="G45" i="53"/>
  <c r="O39" i="22"/>
  <c r="E64" i="22"/>
  <c r="F45" i="22"/>
  <c r="E67" i="22"/>
  <c r="G57" i="22"/>
  <c r="G63" i="22"/>
  <c r="F55" i="22"/>
  <c r="F37" i="22"/>
  <c r="H39" i="22"/>
  <c r="O40" i="22"/>
  <c r="P37" i="22" s="1"/>
  <c r="P38" i="22" s="1"/>
  <c r="P40" i="22" s="1"/>
  <c r="Q37" i="22" s="1"/>
  <c r="L68" i="22"/>
  <c r="E46" i="22"/>
  <c r="E65" i="22"/>
  <c r="H51" i="22"/>
  <c r="N49" i="22"/>
  <c r="N56" i="22"/>
  <c r="N57" i="22" s="1"/>
  <c r="N64" i="22"/>
  <c r="O61" i="22" s="1"/>
  <c r="M51" i="22"/>
  <c r="L45" i="22"/>
  <c r="L66" i="22"/>
  <c r="F52" i="22"/>
  <c r="M43" i="22" l="1"/>
  <c r="C97" i="22"/>
  <c r="C42" i="21"/>
  <c r="I128" i="29"/>
  <c r="I143" i="29"/>
  <c r="I173" i="29"/>
  <c r="I35" i="29"/>
  <c r="I158" i="29"/>
  <c r="M174" i="84"/>
  <c r="I154" i="84"/>
  <c r="G155" i="84"/>
  <c r="J163" i="84"/>
  <c r="F45" i="84"/>
  <c r="F71" i="84" s="1"/>
  <c r="H155" i="84" s="1"/>
  <c r="F39" i="84"/>
  <c r="I24" i="68"/>
  <c r="I164" i="29"/>
  <c r="E33" i="55"/>
  <c r="E10" i="55" s="1"/>
  <c r="M179" i="84"/>
  <c r="M181" i="84" s="1"/>
  <c r="D171" i="84" s="1"/>
  <c r="I134" i="29"/>
  <c r="H156" i="84"/>
  <c r="H165" i="84"/>
  <c r="I149" i="29"/>
  <c r="I179" i="29"/>
  <c r="F37" i="61"/>
  <c r="C9" i="21"/>
  <c r="N178" i="84"/>
  <c r="N170" i="84"/>
  <c r="H214" i="55"/>
  <c r="F115" i="55"/>
  <c r="H166" i="55" s="1"/>
  <c r="F156" i="72"/>
  <c r="D35" i="72"/>
  <c r="D12" i="72"/>
  <c r="I185" i="53"/>
  <c r="I126" i="53"/>
  <c r="F113" i="55"/>
  <c r="H164" i="55" s="1"/>
  <c r="H212" i="55"/>
  <c r="H217" i="55"/>
  <c r="F118" i="55"/>
  <c r="H169" i="55" s="1"/>
  <c r="H222" i="55"/>
  <c r="F123" i="55"/>
  <c r="H174" i="55" s="1"/>
  <c r="H50" i="81"/>
  <c r="H19" i="55" s="1"/>
  <c r="H71" i="55" s="1"/>
  <c r="G19" i="55"/>
  <c r="G71" i="55" s="1"/>
  <c r="D10" i="55"/>
  <c r="D60" i="55"/>
  <c r="F182" i="55" s="1"/>
  <c r="I187" i="53"/>
  <c r="I128" i="53"/>
  <c r="H44" i="81"/>
  <c r="H13" i="55" s="1"/>
  <c r="H65" i="55" s="1"/>
  <c r="G13" i="55"/>
  <c r="G65" i="55" s="1"/>
  <c r="G16" i="72"/>
  <c r="G40" i="72" s="1"/>
  <c r="H70" i="81"/>
  <c r="H16" i="72" s="1"/>
  <c r="H40" i="72" s="1"/>
  <c r="J116" i="53"/>
  <c r="J175" i="53"/>
  <c r="I188" i="53"/>
  <c r="I129" i="53"/>
  <c r="E129" i="55"/>
  <c r="G180" i="55" s="1"/>
  <c r="G228" i="55"/>
  <c r="H211" i="55"/>
  <c r="F112" i="55"/>
  <c r="H163" i="55" s="1"/>
  <c r="I179" i="53"/>
  <c r="I120" i="53"/>
  <c r="I190" i="53"/>
  <c r="I131" i="53"/>
  <c r="G25" i="72"/>
  <c r="G49" i="72" s="1"/>
  <c r="H79" i="81"/>
  <c r="H25" i="72" s="1"/>
  <c r="H49" i="72" s="1"/>
  <c r="H68" i="81"/>
  <c r="H14" i="72" s="1"/>
  <c r="H38" i="72" s="1"/>
  <c r="G14" i="72"/>
  <c r="G38" i="72" s="1"/>
  <c r="H215" i="55"/>
  <c r="F116" i="55"/>
  <c r="H167" i="55" s="1"/>
  <c r="H227" i="55"/>
  <c r="F128" i="55"/>
  <c r="H179" i="55" s="1"/>
  <c r="H111" i="81"/>
  <c r="I28" i="53" s="1"/>
  <c r="I74" i="53" s="1"/>
  <c r="H28" i="53"/>
  <c r="H74" i="53" s="1"/>
  <c r="H209" i="55"/>
  <c r="F110" i="55"/>
  <c r="H161" i="55" s="1"/>
  <c r="I186" i="53"/>
  <c r="I127" i="53"/>
  <c r="H152" i="72"/>
  <c r="F95" i="72"/>
  <c r="H139" i="72" s="1"/>
  <c r="F96" i="72"/>
  <c r="H192" i="53"/>
  <c r="H133" i="53"/>
  <c r="E109" i="55"/>
  <c r="G208" i="55"/>
  <c r="G17" i="55"/>
  <c r="G69" i="55" s="1"/>
  <c r="H48" i="81"/>
  <c r="H17" i="55" s="1"/>
  <c r="H69" i="55" s="1"/>
  <c r="H78" i="81"/>
  <c r="H24" i="72" s="1"/>
  <c r="H48" i="72" s="1"/>
  <c r="G24" i="72"/>
  <c r="G48" i="72" s="1"/>
  <c r="G26" i="72"/>
  <c r="G50" i="72" s="1"/>
  <c r="H80" i="81"/>
  <c r="H26" i="72" s="1"/>
  <c r="H50" i="72" s="1"/>
  <c r="J185" i="53"/>
  <c r="J126" i="53"/>
  <c r="H46" i="81"/>
  <c r="H15" i="55" s="1"/>
  <c r="H67" i="55" s="1"/>
  <c r="G15" i="55"/>
  <c r="G67" i="55" s="1"/>
  <c r="H51" i="81"/>
  <c r="H20" i="55" s="1"/>
  <c r="H72" i="55" s="1"/>
  <c r="G20" i="55"/>
  <c r="G72" i="55" s="1"/>
  <c r="G25" i="55"/>
  <c r="G77" i="55" s="1"/>
  <c r="H56" i="81"/>
  <c r="H25" i="55" s="1"/>
  <c r="H77" i="55" s="1"/>
  <c r="F117" i="55"/>
  <c r="H168" i="55" s="1"/>
  <c r="H216" i="55"/>
  <c r="G85" i="81"/>
  <c r="F31" i="72"/>
  <c r="F55" i="72" s="1"/>
  <c r="F8" i="61"/>
  <c r="D167" i="72"/>
  <c r="D169" i="72" s="1"/>
  <c r="H71" i="81"/>
  <c r="H17" i="72" s="1"/>
  <c r="H41" i="72" s="1"/>
  <c r="G17" i="72"/>
  <c r="G41" i="72" s="1"/>
  <c r="J178" i="53"/>
  <c r="J119" i="53"/>
  <c r="I174" i="53"/>
  <c r="I115" i="53"/>
  <c r="E32" i="72"/>
  <c r="J188" i="53"/>
  <c r="J129" i="53"/>
  <c r="F31" i="55"/>
  <c r="F83" i="55" s="1"/>
  <c r="G62" i="81"/>
  <c r="H45" i="81"/>
  <c r="H14" i="55" s="1"/>
  <c r="H66" i="55" s="1"/>
  <c r="G14" i="55"/>
  <c r="G66" i="55" s="1"/>
  <c r="J179" i="53"/>
  <c r="J120" i="53"/>
  <c r="J190" i="53"/>
  <c r="J131" i="53"/>
  <c r="I184" i="53"/>
  <c r="I125" i="53"/>
  <c r="G225" i="55"/>
  <c r="E126" i="55"/>
  <c r="G177" i="55" s="1"/>
  <c r="F63" i="72"/>
  <c r="H153" i="72"/>
  <c r="F64" i="72"/>
  <c r="G18" i="55"/>
  <c r="G70" i="55" s="1"/>
  <c r="H49" i="81"/>
  <c r="H18" i="55" s="1"/>
  <c r="H70" i="55" s="1"/>
  <c r="G84" i="81"/>
  <c r="F30" i="72"/>
  <c r="F54" i="72" s="1"/>
  <c r="H61" i="81"/>
  <c r="H30" i="55" s="1"/>
  <c r="H82" i="55" s="1"/>
  <c r="G30" i="55"/>
  <c r="G82" i="55" s="1"/>
  <c r="H193" i="53"/>
  <c r="H134" i="53"/>
  <c r="H43" i="81"/>
  <c r="H12" i="55" s="1"/>
  <c r="H64" i="55" s="1"/>
  <c r="G12" i="55"/>
  <c r="G64" i="55" s="1"/>
  <c r="G15" i="72"/>
  <c r="G39" i="72" s="1"/>
  <c r="H69" i="81"/>
  <c r="H15" i="72" s="1"/>
  <c r="H39" i="72" s="1"/>
  <c r="E252" i="55"/>
  <c r="E253" i="55"/>
  <c r="J186" i="53"/>
  <c r="J127" i="53"/>
  <c r="H77" i="81"/>
  <c r="H23" i="72" s="1"/>
  <c r="H47" i="72" s="1"/>
  <c r="G23" i="72"/>
  <c r="G47" i="72" s="1"/>
  <c r="I181" i="53"/>
  <c r="I122" i="53"/>
  <c r="H27" i="53"/>
  <c r="H73" i="53" s="1"/>
  <c r="H110" i="81"/>
  <c r="I27" i="53" s="1"/>
  <c r="I73" i="53" s="1"/>
  <c r="H194" i="53"/>
  <c r="H135" i="53"/>
  <c r="H218" i="55"/>
  <c r="F119" i="55"/>
  <c r="H170" i="55" s="1"/>
  <c r="I176" i="53"/>
  <c r="I117" i="53"/>
  <c r="H154" i="72"/>
  <c r="F78" i="72"/>
  <c r="F79" i="72"/>
  <c r="F37" i="72"/>
  <c r="I180" i="53"/>
  <c r="I121" i="53"/>
  <c r="I178" i="53"/>
  <c r="I119" i="53"/>
  <c r="J174" i="53"/>
  <c r="J115" i="53"/>
  <c r="H124" i="55"/>
  <c r="J223" i="55"/>
  <c r="I177" i="53"/>
  <c r="I118" i="53"/>
  <c r="H73" i="81"/>
  <c r="H19" i="72" s="1"/>
  <c r="H43" i="72" s="1"/>
  <c r="G19" i="72"/>
  <c r="G43" i="72" s="1"/>
  <c r="H58" i="81"/>
  <c r="H27" i="55" s="1"/>
  <c r="H79" i="55" s="1"/>
  <c r="G27" i="55"/>
  <c r="G79" i="55" s="1"/>
  <c r="F63" i="55"/>
  <c r="J183" i="53"/>
  <c r="J124" i="53"/>
  <c r="J184" i="53"/>
  <c r="J125" i="53"/>
  <c r="G59" i="81"/>
  <c r="F28" i="55"/>
  <c r="F80" i="55" s="1"/>
  <c r="H74" i="81"/>
  <c r="H20" i="72" s="1"/>
  <c r="H44" i="72" s="1"/>
  <c r="G20" i="72"/>
  <c r="G44" i="72" s="1"/>
  <c r="F121" i="55"/>
  <c r="H172" i="55" s="1"/>
  <c r="H220" i="55"/>
  <c r="H213" i="55"/>
  <c r="F114" i="55"/>
  <c r="H165" i="55" s="1"/>
  <c r="F120" i="55"/>
  <c r="H171" i="55" s="1"/>
  <c r="H219" i="55"/>
  <c r="G226" i="55"/>
  <c r="E127" i="55"/>
  <c r="G178" i="55" s="1"/>
  <c r="H221" i="55"/>
  <c r="F122" i="55"/>
  <c r="H173" i="55" s="1"/>
  <c r="G140" i="72"/>
  <c r="G144" i="72"/>
  <c r="J181" i="53"/>
  <c r="J122" i="53"/>
  <c r="C171" i="29"/>
  <c r="C156" i="29"/>
  <c r="C141" i="29"/>
  <c r="C126" i="29"/>
  <c r="C33" i="29"/>
  <c r="F17" i="61"/>
  <c r="H112" i="81"/>
  <c r="I29" i="53" s="1"/>
  <c r="I75" i="53" s="1"/>
  <c r="H29" i="53"/>
  <c r="H75" i="53" s="1"/>
  <c r="G21" i="55"/>
  <c r="G73" i="55" s="1"/>
  <c r="H52" i="81"/>
  <c r="H21" i="55" s="1"/>
  <c r="H73" i="55" s="1"/>
  <c r="J176" i="53"/>
  <c r="J117" i="53"/>
  <c r="H72" i="81"/>
  <c r="H18" i="72" s="1"/>
  <c r="H42" i="72" s="1"/>
  <c r="G18" i="72"/>
  <c r="G42" i="72" s="1"/>
  <c r="G13" i="72"/>
  <c r="H67" i="81"/>
  <c r="H13" i="72" s="1"/>
  <c r="J180" i="53"/>
  <c r="J121" i="53"/>
  <c r="H81" i="81"/>
  <c r="H27" i="72" s="1"/>
  <c r="H51" i="72" s="1"/>
  <c r="G27" i="72"/>
  <c r="G51" i="72" s="1"/>
  <c r="J187" i="53"/>
  <c r="J128" i="53"/>
  <c r="H210" i="55"/>
  <c r="F111" i="55"/>
  <c r="H162" i="55" s="1"/>
  <c r="H155" i="72"/>
  <c r="F70" i="72"/>
  <c r="H142" i="72" s="1"/>
  <c r="F71" i="72"/>
  <c r="I175" i="53"/>
  <c r="I116" i="53"/>
  <c r="G160" i="72"/>
  <c r="G161" i="72"/>
  <c r="G141" i="72"/>
  <c r="I223" i="55"/>
  <c r="G124" i="55"/>
  <c r="I175" i="55" s="1"/>
  <c r="H76" i="81"/>
  <c r="H22" i="72" s="1"/>
  <c r="H46" i="72" s="1"/>
  <c r="G22" i="72"/>
  <c r="G46" i="72" s="1"/>
  <c r="J177" i="53"/>
  <c r="J118" i="53"/>
  <c r="F125" i="55"/>
  <c r="H176" i="55" s="1"/>
  <c r="H224" i="55"/>
  <c r="H42" i="81"/>
  <c r="H11" i="55" s="1"/>
  <c r="G11" i="55"/>
  <c r="I183" i="53"/>
  <c r="I124" i="53"/>
  <c r="H54" i="81"/>
  <c r="H23" i="55" s="1"/>
  <c r="H75" i="55" s="1"/>
  <c r="G23" i="55"/>
  <c r="G75" i="55" s="1"/>
  <c r="G21" i="72"/>
  <c r="G45" i="72" s="1"/>
  <c r="H75" i="81"/>
  <c r="H21" i="72" s="1"/>
  <c r="H45" i="72" s="1"/>
  <c r="H47" i="81"/>
  <c r="H16" i="55" s="1"/>
  <c r="H68" i="55" s="1"/>
  <c r="G16" i="55"/>
  <c r="G68" i="55" s="1"/>
  <c r="H53" i="81"/>
  <c r="H22" i="55" s="1"/>
  <c r="H74" i="55" s="1"/>
  <c r="G22" i="55"/>
  <c r="G74" i="55" s="1"/>
  <c r="G60" i="81"/>
  <c r="F29" i="55"/>
  <c r="F81" i="55" s="1"/>
  <c r="H55" i="81"/>
  <c r="H24" i="55" s="1"/>
  <c r="H76" i="55" s="1"/>
  <c r="G24" i="55"/>
  <c r="G76" i="55" s="1"/>
  <c r="H83" i="81"/>
  <c r="H29" i="72" s="1"/>
  <c r="H53" i="72" s="1"/>
  <c r="G29" i="72"/>
  <c r="G53" i="72" s="1"/>
  <c r="F254" i="55"/>
  <c r="F255" i="55"/>
  <c r="F160" i="55"/>
  <c r="D231" i="53"/>
  <c r="D233" i="53" s="1"/>
  <c r="F6" i="61"/>
  <c r="E230" i="53" s="1"/>
  <c r="G6" i="61"/>
  <c r="B12" i="21"/>
  <c r="C144" i="29" s="1"/>
  <c r="J200" i="53"/>
  <c r="J141" i="53"/>
  <c r="G15" i="84"/>
  <c r="G46" i="84" s="1"/>
  <c r="G75" i="84" s="1"/>
  <c r="H68" i="83"/>
  <c r="H15" i="84" s="1"/>
  <c r="H46" i="84" s="1"/>
  <c r="H75" i="84" s="1"/>
  <c r="I141" i="53"/>
  <c r="I200" i="53"/>
  <c r="E168" i="53"/>
  <c r="G37" i="55"/>
  <c r="G89" i="55" s="1"/>
  <c r="H44" i="83"/>
  <c r="H37" i="55" s="1"/>
  <c r="H89" i="55" s="1"/>
  <c r="F135" i="55"/>
  <c r="H187" i="55" s="1"/>
  <c r="H234" i="55"/>
  <c r="H67" i="83"/>
  <c r="H14" i="84" s="1"/>
  <c r="G14" i="84"/>
  <c r="F159" i="53"/>
  <c r="F216" i="53"/>
  <c r="H236" i="55"/>
  <c r="F137" i="55"/>
  <c r="H189" i="55" s="1"/>
  <c r="J212" i="53"/>
  <c r="J154" i="53"/>
  <c r="J213" i="53"/>
  <c r="J155" i="53"/>
  <c r="E22" i="84"/>
  <c r="H248" i="55"/>
  <c r="F150" i="55"/>
  <c r="H202" i="55" s="1"/>
  <c r="F161" i="53"/>
  <c r="F218" i="53"/>
  <c r="H46" i="83"/>
  <c r="H39" i="55" s="1"/>
  <c r="H91" i="55" s="1"/>
  <c r="G39" i="55"/>
  <c r="G91" i="55" s="1"/>
  <c r="I199" i="53"/>
  <c r="I140" i="53"/>
  <c r="G209" i="53"/>
  <c r="G150" i="53"/>
  <c r="H87" i="55"/>
  <c r="D96" i="55"/>
  <c r="D56" i="55"/>
  <c r="J210" i="53"/>
  <c r="J152" i="53"/>
  <c r="F242" i="55"/>
  <c r="D143" i="55"/>
  <c r="F195" i="55" s="1"/>
  <c r="E57" i="84"/>
  <c r="H239" i="55"/>
  <c r="F140" i="55"/>
  <c r="H192" i="55" s="1"/>
  <c r="H17" i="84"/>
  <c r="H48" i="84" s="1"/>
  <c r="G17" i="84"/>
  <c r="G48" i="84" s="1"/>
  <c r="J240" i="55"/>
  <c r="H141" i="55"/>
  <c r="G55" i="83"/>
  <c r="F217" i="53"/>
  <c r="F160" i="53"/>
  <c r="H18" i="84"/>
  <c r="H49" i="84" s="1"/>
  <c r="G18" i="84"/>
  <c r="G49" i="84" s="1"/>
  <c r="E59" i="84"/>
  <c r="H245" i="55"/>
  <c r="F147" i="55"/>
  <c r="H199" i="55" s="1"/>
  <c r="F52" i="83"/>
  <c r="E45" i="55"/>
  <c r="E97" i="55" s="1"/>
  <c r="H62" i="83"/>
  <c r="H54" i="55" s="1"/>
  <c r="H105" i="55" s="1"/>
  <c r="G54" i="55"/>
  <c r="G105" i="55" s="1"/>
  <c r="F222" i="53"/>
  <c r="F165" i="53"/>
  <c r="G159" i="84"/>
  <c r="G44" i="53"/>
  <c r="G90" i="53" s="1"/>
  <c r="G87" i="55"/>
  <c r="H233" i="55"/>
  <c r="F134" i="55"/>
  <c r="H186" i="55" s="1"/>
  <c r="F139" i="55"/>
  <c r="H191" i="55" s="1"/>
  <c r="H238" i="55"/>
  <c r="F54" i="83"/>
  <c r="E47" i="55"/>
  <c r="E99" i="55" s="1"/>
  <c r="F51" i="83"/>
  <c r="E44" i="55"/>
  <c r="I210" i="53"/>
  <c r="I152" i="53"/>
  <c r="I203" i="53"/>
  <c r="I144" i="53"/>
  <c r="H19" i="84"/>
  <c r="H50" i="84" s="1"/>
  <c r="G19" i="84"/>
  <c r="G50" i="84" s="1"/>
  <c r="J204" i="53"/>
  <c r="J145" i="53"/>
  <c r="I142" i="53"/>
  <c r="I201" i="53"/>
  <c r="H60" i="83"/>
  <c r="H52" i="55" s="1"/>
  <c r="H103" i="55" s="1"/>
  <c r="G52" i="55"/>
  <c r="G103" i="55" s="1"/>
  <c r="H49" i="83"/>
  <c r="H42" i="55" s="1"/>
  <c r="H94" i="55" s="1"/>
  <c r="G42" i="55"/>
  <c r="G94" i="55" s="1"/>
  <c r="E24" i="84"/>
  <c r="E55" i="84" s="1"/>
  <c r="D160" i="29"/>
  <c r="D37" i="29"/>
  <c r="D145" i="29"/>
  <c r="D175" i="29"/>
  <c r="D130" i="29"/>
  <c r="E56" i="84"/>
  <c r="J199" i="53"/>
  <c r="J140" i="53"/>
  <c r="J202" i="53"/>
  <c r="J143" i="53"/>
  <c r="I240" i="55"/>
  <c r="G141" i="55"/>
  <c r="I193" i="55" s="1"/>
  <c r="H45" i="53"/>
  <c r="I45" i="53"/>
  <c r="F31" i="84"/>
  <c r="G31" i="84"/>
  <c r="F225" i="53"/>
  <c r="H45" i="83"/>
  <c r="H38" i="55" s="1"/>
  <c r="H90" i="55" s="1"/>
  <c r="G38" i="55"/>
  <c r="G90" i="55" s="1"/>
  <c r="F33" i="84"/>
  <c r="G33" i="84"/>
  <c r="H43" i="83"/>
  <c r="H36" i="55" s="1"/>
  <c r="H88" i="55" s="1"/>
  <c r="G36" i="55"/>
  <c r="G88" i="55" s="1"/>
  <c r="H48" i="83"/>
  <c r="H41" i="55" s="1"/>
  <c r="H93" i="55" s="1"/>
  <c r="G41" i="55"/>
  <c r="G93" i="55" s="1"/>
  <c r="F244" i="55"/>
  <c r="D145" i="55"/>
  <c r="F197" i="55" s="1"/>
  <c r="F30" i="84"/>
  <c r="F61" i="84" s="1"/>
  <c r="J203" i="53"/>
  <c r="J144" i="53"/>
  <c r="I205" i="53"/>
  <c r="I146" i="53"/>
  <c r="I204" i="53"/>
  <c r="I145" i="53"/>
  <c r="J201" i="53"/>
  <c r="J142" i="53"/>
  <c r="H246" i="55"/>
  <c r="F148" i="55"/>
  <c r="H200" i="55" s="1"/>
  <c r="G185" i="55"/>
  <c r="E23" i="84"/>
  <c r="E54" i="84" s="1"/>
  <c r="E58" i="84"/>
  <c r="I46" i="53"/>
  <c r="I91" i="53" s="1"/>
  <c r="H46" i="53"/>
  <c r="H91" i="53" s="1"/>
  <c r="I151" i="53" s="1"/>
  <c r="H37" i="84"/>
  <c r="H65" i="84" s="1"/>
  <c r="G37" i="84"/>
  <c r="G65" i="84" s="1"/>
  <c r="G36" i="84"/>
  <c r="G64" i="84" s="1"/>
  <c r="H36" i="84"/>
  <c r="H64" i="84" s="1"/>
  <c r="G207" i="53"/>
  <c r="G148" i="53"/>
  <c r="F104" i="53"/>
  <c r="F103" i="53"/>
  <c r="F99" i="53"/>
  <c r="F100" i="53"/>
  <c r="F101" i="53"/>
  <c r="F221" i="53"/>
  <c r="F164" i="53"/>
  <c r="H235" i="55"/>
  <c r="F136" i="55"/>
  <c r="H188" i="55" s="1"/>
  <c r="G40" i="55"/>
  <c r="G92" i="55" s="1"/>
  <c r="H47" i="83"/>
  <c r="H40" i="55" s="1"/>
  <c r="H92" i="55" s="1"/>
  <c r="G39" i="61"/>
  <c r="D9" i="69" s="1"/>
  <c r="E31" i="68" s="1"/>
  <c r="D13" i="21"/>
  <c r="H247" i="55"/>
  <c r="F149" i="55"/>
  <c r="H201" i="55" s="1"/>
  <c r="H20" i="84"/>
  <c r="H51" i="84" s="1"/>
  <c r="G20" i="84"/>
  <c r="G51" i="84" s="1"/>
  <c r="D194" i="55"/>
  <c r="D204" i="55" s="1"/>
  <c r="N261" i="55"/>
  <c r="J205" i="53"/>
  <c r="J146" i="53"/>
  <c r="E241" i="55"/>
  <c r="C142" i="55"/>
  <c r="I211" i="53"/>
  <c r="I153" i="53"/>
  <c r="G208" i="53"/>
  <c r="G149" i="53"/>
  <c r="H35" i="84"/>
  <c r="H63" i="84" s="1"/>
  <c r="G35" i="84"/>
  <c r="G63" i="84" s="1"/>
  <c r="F126" i="84"/>
  <c r="F143" i="84" s="1"/>
  <c r="F124" i="84"/>
  <c r="F141" i="84" s="1"/>
  <c r="F125" i="84"/>
  <c r="F142" i="84" s="1"/>
  <c r="F243" i="55"/>
  <c r="D144" i="55"/>
  <c r="F196" i="55" s="1"/>
  <c r="E60" i="84"/>
  <c r="F224" i="53"/>
  <c r="H16" i="84"/>
  <c r="H47" i="84" s="1"/>
  <c r="G16" i="84"/>
  <c r="G47" i="84" s="1"/>
  <c r="H237" i="55"/>
  <c r="F138" i="55"/>
  <c r="H190" i="55" s="1"/>
  <c r="H61" i="83"/>
  <c r="H53" i="55" s="1"/>
  <c r="H104" i="55" s="1"/>
  <c r="G53" i="55"/>
  <c r="G104" i="55" s="1"/>
  <c r="H232" i="55"/>
  <c r="F133" i="55"/>
  <c r="I212" i="53"/>
  <c r="I154" i="53"/>
  <c r="D260" i="55"/>
  <c r="D262" i="55" s="1"/>
  <c r="F7" i="61"/>
  <c r="E259" i="55" s="1"/>
  <c r="I213" i="53"/>
  <c r="I155" i="53"/>
  <c r="H59" i="83"/>
  <c r="H51" i="55" s="1"/>
  <c r="H102" i="55" s="1"/>
  <c r="G51" i="55"/>
  <c r="G102" i="55" s="1"/>
  <c r="C12" i="84"/>
  <c r="C42" i="84"/>
  <c r="J211" i="53"/>
  <c r="J153" i="53"/>
  <c r="G32" i="84"/>
  <c r="F32" i="84"/>
  <c r="G42" i="53"/>
  <c r="G88" i="53" s="1"/>
  <c r="G43" i="53"/>
  <c r="G89" i="53" s="1"/>
  <c r="D53" i="84"/>
  <c r="O169" i="84"/>
  <c r="I202" i="53"/>
  <c r="I143" i="53"/>
  <c r="H34" i="84"/>
  <c r="H62" i="84" s="1"/>
  <c r="G34" i="84"/>
  <c r="G62" i="84" s="1"/>
  <c r="E46" i="55"/>
  <c r="E98" i="55" s="1"/>
  <c r="F53" i="83"/>
  <c r="H57" i="22"/>
  <c r="F58" i="22"/>
  <c r="G45" i="22"/>
  <c r="F67" i="22"/>
  <c r="F61" i="22"/>
  <c r="H63" i="22"/>
  <c r="I39" i="22"/>
  <c r="F40" i="22"/>
  <c r="P39" i="22"/>
  <c r="N58" i="22"/>
  <c r="O55" i="22" s="1"/>
  <c r="O56" i="22" s="1"/>
  <c r="O57" i="22" s="1"/>
  <c r="Q38" i="22"/>
  <c r="Q40" i="22" s="1"/>
  <c r="F43" i="22"/>
  <c r="E68" i="22"/>
  <c r="M44" i="22"/>
  <c r="M65" i="22"/>
  <c r="L67" i="22"/>
  <c r="N50" i="22"/>
  <c r="N52" i="22" s="1"/>
  <c r="I51" i="22"/>
  <c r="G49" i="22"/>
  <c r="O62" i="22"/>
  <c r="O63" i="22" s="1"/>
  <c r="D13" i="69" l="1"/>
  <c r="C14" i="69"/>
  <c r="C15" i="69" s="1"/>
  <c r="E96" i="29"/>
  <c r="E11" i="29"/>
  <c r="D60" i="29"/>
  <c r="C96" i="22"/>
  <c r="D45" i="29"/>
  <c r="M66" i="22"/>
  <c r="D170" i="84"/>
  <c r="H164" i="84"/>
  <c r="G45" i="84"/>
  <c r="G71" i="84" s="1"/>
  <c r="I164" i="84" s="1"/>
  <c r="G39" i="84"/>
  <c r="H45" i="84"/>
  <c r="H71" i="84" s="1"/>
  <c r="J155" i="84" s="1"/>
  <c r="H39" i="84"/>
  <c r="E60" i="55"/>
  <c r="G182" i="55" s="1"/>
  <c r="I156" i="84"/>
  <c r="I165" i="84"/>
  <c r="J156" i="84"/>
  <c r="J165" i="84"/>
  <c r="I221" i="55"/>
  <c r="G122" i="55"/>
  <c r="I173" i="55" s="1"/>
  <c r="I219" i="55"/>
  <c r="G120" i="55"/>
  <c r="I171" i="55" s="1"/>
  <c r="H37" i="72"/>
  <c r="I194" i="53"/>
  <c r="I135" i="53"/>
  <c r="H225" i="55"/>
  <c r="F126" i="55"/>
  <c r="H177" i="55" s="1"/>
  <c r="I224" i="55"/>
  <c r="G125" i="55"/>
  <c r="I176" i="55" s="1"/>
  <c r="J211" i="55"/>
  <c r="H112" i="55"/>
  <c r="H85" i="81"/>
  <c r="H31" i="72" s="1"/>
  <c r="H55" i="72" s="1"/>
  <c r="G31" i="72"/>
  <c r="G55" i="72" s="1"/>
  <c r="G123" i="55"/>
  <c r="I174" i="55" s="1"/>
  <c r="I222" i="55"/>
  <c r="J212" i="55"/>
  <c r="H113" i="55"/>
  <c r="G115" i="55"/>
  <c r="I166" i="55" s="1"/>
  <c r="I214" i="55"/>
  <c r="I193" i="53"/>
  <c r="I134" i="53"/>
  <c r="G111" i="55"/>
  <c r="I162" i="55" s="1"/>
  <c r="I210" i="55"/>
  <c r="F157" i="72"/>
  <c r="F158" i="72"/>
  <c r="J221" i="55"/>
  <c r="H122" i="55"/>
  <c r="H120" i="55"/>
  <c r="J219" i="55"/>
  <c r="G37" i="72"/>
  <c r="J194" i="53"/>
  <c r="J135" i="53"/>
  <c r="H59" i="81"/>
  <c r="H28" i="55" s="1"/>
  <c r="H80" i="55" s="1"/>
  <c r="G28" i="55"/>
  <c r="G80" i="55" s="1"/>
  <c r="H125" i="55"/>
  <c r="J224" i="55"/>
  <c r="H160" i="72"/>
  <c r="H161" i="72"/>
  <c r="H141" i="72"/>
  <c r="G30" i="72"/>
  <c r="G54" i="72" s="1"/>
  <c r="H84" i="81"/>
  <c r="H30" i="72" s="1"/>
  <c r="H54" i="72" s="1"/>
  <c r="H62" i="81"/>
  <c r="H31" i="55" s="1"/>
  <c r="H83" i="55" s="1"/>
  <c r="G31" i="55"/>
  <c r="G83" i="55" s="1"/>
  <c r="E12" i="72"/>
  <c r="G156" i="72"/>
  <c r="E35" i="72"/>
  <c r="D178" i="72"/>
  <c r="D180" i="72" s="1"/>
  <c r="B19" i="21"/>
  <c r="E50" i="61"/>
  <c r="G118" i="55"/>
  <c r="I169" i="55" s="1"/>
  <c r="I217" i="55"/>
  <c r="J134" i="53"/>
  <c r="J193" i="53"/>
  <c r="J210" i="55"/>
  <c r="H111" i="55"/>
  <c r="F252" i="55"/>
  <c r="F253" i="55"/>
  <c r="F159" i="72"/>
  <c r="F146" i="72"/>
  <c r="F148" i="72" s="1"/>
  <c r="D156" i="29"/>
  <c r="D141" i="29"/>
  <c r="D126" i="29"/>
  <c r="D33" i="29"/>
  <c r="D171" i="29"/>
  <c r="H226" i="55"/>
  <c r="F127" i="55"/>
  <c r="H178" i="55" s="1"/>
  <c r="G114" i="55"/>
  <c r="I165" i="55" s="1"/>
  <c r="I213" i="55"/>
  <c r="I220" i="55"/>
  <c r="G121" i="55"/>
  <c r="I172" i="55" s="1"/>
  <c r="G63" i="55"/>
  <c r="G78" i="72"/>
  <c r="G79" i="72"/>
  <c r="I154" i="72"/>
  <c r="H119" i="55"/>
  <c r="J218" i="55"/>
  <c r="E167" i="72"/>
  <c r="G8" i="61"/>
  <c r="F33" i="55"/>
  <c r="J192" i="53"/>
  <c r="J133" i="53"/>
  <c r="I152" i="72"/>
  <c r="G95" i="72"/>
  <c r="I139" i="72" s="1"/>
  <c r="G96" i="72"/>
  <c r="I209" i="55"/>
  <c r="G110" i="55"/>
  <c r="I161" i="55" s="1"/>
  <c r="I227" i="55"/>
  <c r="G128" i="55"/>
  <c r="I179" i="55" s="1"/>
  <c r="H116" i="55"/>
  <c r="J215" i="55"/>
  <c r="H140" i="72"/>
  <c r="H144" i="72"/>
  <c r="F129" i="55"/>
  <c r="H180" i="55" s="1"/>
  <c r="H228" i="55"/>
  <c r="E166" i="72"/>
  <c r="E169" i="72" s="1"/>
  <c r="J217" i="55"/>
  <c r="H118" i="55"/>
  <c r="G254" i="55"/>
  <c r="G255" i="55"/>
  <c r="G160" i="55"/>
  <c r="I153" i="72"/>
  <c r="G63" i="72"/>
  <c r="G64" i="72"/>
  <c r="J155" i="72"/>
  <c r="H70" i="72"/>
  <c r="H71" i="72"/>
  <c r="I216" i="55"/>
  <c r="G117" i="55"/>
  <c r="I168" i="55" s="1"/>
  <c r="G252" i="55"/>
  <c r="G253" i="55"/>
  <c r="O170" i="84"/>
  <c r="O178" i="84"/>
  <c r="G29" i="55"/>
  <c r="G81" i="55" s="1"/>
  <c r="H60" i="81"/>
  <c r="H29" i="55" s="1"/>
  <c r="H81" i="55" s="1"/>
  <c r="J213" i="55"/>
  <c r="H114" i="55"/>
  <c r="J165" i="55" s="1"/>
  <c r="H121" i="55"/>
  <c r="J220" i="55"/>
  <c r="H63" i="55"/>
  <c r="J154" i="72"/>
  <c r="H78" i="72"/>
  <c r="H79" i="72"/>
  <c r="G119" i="55"/>
  <c r="I170" i="55" s="1"/>
  <c r="I218" i="55"/>
  <c r="F109" i="55"/>
  <c r="H208" i="55"/>
  <c r="J175" i="55"/>
  <c r="F32" i="72"/>
  <c r="I192" i="53"/>
  <c r="I133" i="53"/>
  <c r="J152" i="72"/>
  <c r="H95" i="72"/>
  <c r="J139" i="72" s="1"/>
  <c r="H96" i="72"/>
  <c r="J209" i="55"/>
  <c r="H110" i="55"/>
  <c r="J161" i="55" s="1"/>
  <c r="H128" i="55"/>
  <c r="J227" i="55"/>
  <c r="I215" i="55"/>
  <c r="G116" i="55"/>
  <c r="I167" i="55" s="1"/>
  <c r="I211" i="55"/>
  <c r="G112" i="55"/>
  <c r="I163" i="55" s="1"/>
  <c r="H123" i="55"/>
  <c r="J222" i="55"/>
  <c r="I212" i="55"/>
  <c r="G113" i="55"/>
  <c r="I164" i="55" s="1"/>
  <c r="H115" i="55"/>
  <c r="J214" i="55"/>
  <c r="H63" i="72"/>
  <c r="J153" i="72"/>
  <c r="H64" i="72"/>
  <c r="I155" i="72"/>
  <c r="G70" i="72"/>
  <c r="I142" i="72" s="1"/>
  <c r="G71" i="72"/>
  <c r="H117" i="55"/>
  <c r="J216" i="55"/>
  <c r="N172" i="84"/>
  <c r="N174" i="84" s="1"/>
  <c r="E170" i="84" s="1"/>
  <c r="N179" i="84"/>
  <c r="N181" i="84" s="1"/>
  <c r="E171" i="84" s="1"/>
  <c r="D245" i="53"/>
  <c r="D247" i="53" s="1"/>
  <c r="B22" i="21"/>
  <c r="C129" i="29"/>
  <c r="C159" i="29"/>
  <c r="E231" i="53"/>
  <c r="E233" i="53" s="1"/>
  <c r="E245" i="53" s="1"/>
  <c r="E247" i="53" s="1"/>
  <c r="C174" i="29"/>
  <c r="C36" i="29"/>
  <c r="G224" i="53"/>
  <c r="J151" i="53"/>
  <c r="C12" i="21"/>
  <c r="D159" i="29" s="1"/>
  <c r="F168" i="53"/>
  <c r="J234" i="55"/>
  <c r="H135" i="55"/>
  <c r="G225" i="53"/>
  <c r="H6" i="61"/>
  <c r="I234" i="55"/>
  <c r="G135" i="55"/>
  <c r="I187" i="55" s="1"/>
  <c r="H124" i="84"/>
  <c r="H141" i="84" s="1"/>
  <c r="H125" i="84"/>
  <c r="H142" i="84" s="1"/>
  <c r="H126" i="84"/>
  <c r="H143" i="84" s="1"/>
  <c r="H42" i="53"/>
  <c r="H88" i="53" s="1"/>
  <c r="I42" i="53"/>
  <c r="I88" i="53" s="1"/>
  <c r="E260" i="55"/>
  <c r="E262" i="55" s="1"/>
  <c r="G7" i="61"/>
  <c r="F259" i="55" s="1"/>
  <c r="F46" i="55"/>
  <c r="F98" i="55" s="1"/>
  <c r="G53" i="83"/>
  <c r="H208" i="53"/>
  <c r="H149" i="53"/>
  <c r="J245" i="55"/>
  <c r="H147" i="55"/>
  <c r="H159" i="84"/>
  <c r="G221" i="53"/>
  <c r="G164" i="53"/>
  <c r="F23" i="84"/>
  <c r="F54" i="84" s="1"/>
  <c r="J238" i="55"/>
  <c r="H139" i="55"/>
  <c r="J235" i="55"/>
  <c r="H136" i="55"/>
  <c r="I239" i="55"/>
  <c r="G140" i="55"/>
  <c r="I192" i="55" s="1"/>
  <c r="H209" i="53"/>
  <c r="H150" i="53"/>
  <c r="I247" i="55"/>
  <c r="G149" i="55"/>
  <c r="I201" i="55" s="1"/>
  <c r="I238" i="55"/>
  <c r="G139" i="55"/>
  <c r="I191" i="55" s="1"/>
  <c r="G243" i="55"/>
  <c r="E144" i="55"/>
  <c r="G196" i="55" s="1"/>
  <c r="I43" i="53"/>
  <c r="I89" i="53" s="1"/>
  <c r="H43" i="53"/>
  <c r="H89" i="53" s="1"/>
  <c r="H185" i="55"/>
  <c r="F60" i="84"/>
  <c r="J237" i="55"/>
  <c r="H138" i="55"/>
  <c r="G218" i="53"/>
  <c r="G161" i="53"/>
  <c r="G222" i="53"/>
  <c r="G165" i="53"/>
  <c r="I233" i="55"/>
  <c r="G134" i="55"/>
  <c r="I186" i="55" s="1"/>
  <c r="J239" i="55"/>
  <c r="H140" i="55"/>
  <c r="E96" i="55"/>
  <c r="E56" i="55"/>
  <c r="H39" i="61"/>
  <c r="E9" i="69" s="1"/>
  <c r="F31" i="68" s="1"/>
  <c r="E13" i="21"/>
  <c r="I248" i="55"/>
  <c r="G150" i="55"/>
  <c r="I202" i="55" s="1"/>
  <c r="F59" i="84"/>
  <c r="F22" i="84"/>
  <c r="I245" i="55"/>
  <c r="G147" i="55"/>
  <c r="I199" i="55" s="1"/>
  <c r="F58" i="84"/>
  <c r="I235" i="55"/>
  <c r="G136" i="55"/>
  <c r="I188" i="55" s="1"/>
  <c r="I44" i="53"/>
  <c r="I90" i="53" s="1"/>
  <c r="H44" i="53"/>
  <c r="H90" i="53" s="1"/>
  <c r="G126" i="84"/>
  <c r="G143" i="84" s="1"/>
  <c r="G125" i="84"/>
  <c r="G142" i="84" s="1"/>
  <c r="G124" i="84"/>
  <c r="G141" i="84" s="1"/>
  <c r="H148" i="53"/>
  <c r="H207" i="53"/>
  <c r="G101" i="53"/>
  <c r="G103" i="53"/>
  <c r="G100" i="53"/>
  <c r="G99" i="53"/>
  <c r="G104" i="53"/>
  <c r="N270" i="55"/>
  <c r="N262" i="55"/>
  <c r="I237" i="55"/>
  <c r="G138" i="55"/>
  <c r="I190" i="55" s="1"/>
  <c r="G217" i="53"/>
  <c r="G160" i="53"/>
  <c r="H30" i="84"/>
  <c r="H61" i="84" s="1"/>
  <c r="G30" i="84"/>
  <c r="G61" i="84" s="1"/>
  <c r="J233" i="55"/>
  <c r="H134" i="55"/>
  <c r="I246" i="55"/>
  <c r="G148" i="55"/>
  <c r="I200" i="55" s="1"/>
  <c r="G51" i="83"/>
  <c r="F44" i="55"/>
  <c r="J248" i="55"/>
  <c r="H150" i="55"/>
  <c r="G242" i="55"/>
  <c r="E143" i="55"/>
  <c r="G195" i="55" s="1"/>
  <c r="F241" i="55"/>
  <c r="D142" i="55"/>
  <c r="E53" i="84"/>
  <c r="P169" i="84"/>
  <c r="E41" i="61"/>
  <c r="B8" i="21"/>
  <c r="I236" i="55"/>
  <c r="G137" i="55"/>
  <c r="I189" i="55" s="1"/>
  <c r="J246" i="55"/>
  <c r="H148" i="55"/>
  <c r="G244" i="55"/>
  <c r="E145" i="55"/>
  <c r="G197" i="55" s="1"/>
  <c r="F45" i="55"/>
  <c r="F97" i="55" s="1"/>
  <c r="G52" i="83"/>
  <c r="H55" i="83"/>
  <c r="F57" i="84"/>
  <c r="F230" i="53"/>
  <c r="D12" i="84"/>
  <c r="D42" i="84"/>
  <c r="B18" i="21"/>
  <c r="D272" i="55"/>
  <c r="D275" i="55" s="1"/>
  <c r="J247" i="55"/>
  <c r="H149" i="55"/>
  <c r="E194" i="55"/>
  <c r="E204" i="55" s="1"/>
  <c r="O261" i="55"/>
  <c r="E37" i="29"/>
  <c r="E145" i="29"/>
  <c r="E175" i="29"/>
  <c r="E130" i="29"/>
  <c r="E160" i="29"/>
  <c r="G216" i="53"/>
  <c r="G159" i="53"/>
  <c r="F56" i="84"/>
  <c r="F24" i="84"/>
  <c r="F55" i="84" s="1"/>
  <c r="G54" i="83"/>
  <c r="F47" i="55"/>
  <c r="F99" i="55" s="1"/>
  <c r="I232" i="55"/>
  <c r="G133" i="55"/>
  <c r="J193" i="55"/>
  <c r="J232" i="55"/>
  <c r="H133" i="55"/>
  <c r="J236" i="55"/>
  <c r="H137" i="55"/>
  <c r="I63" i="22"/>
  <c r="I57" i="22"/>
  <c r="G55" i="22"/>
  <c r="F64" i="22"/>
  <c r="H45" i="22"/>
  <c r="G67" i="22"/>
  <c r="G37" i="22"/>
  <c r="Q39" i="22"/>
  <c r="M46" i="22"/>
  <c r="N51" i="22"/>
  <c r="O58" i="22"/>
  <c r="P55" i="22" s="1"/>
  <c r="P56" i="22" s="1"/>
  <c r="P58" i="22" s="1"/>
  <c r="Q55" i="22" s="1"/>
  <c r="G52" i="22"/>
  <c r="O49" i="22"/>
  <c r="O64" i="22"/>
  <c r="P61" i="22" s="1"/>
  <c r="M45" i="22"/>
  <c r="F46" i="22"/>
  <c r="F65" i="22"/>
  <c r="D97" i="22" l="1"/>
  <c r="D42" i="21"/>
  <c r="N43" i="22"/>
  <c r="F18" i="61"/>
  <c r="E174" i="84" s="1"/>
  <c r="F173" i="84" s="1"/>
  <c r="F52" i="61"/>
  <c r="E18" i="61"/>
  <c r="D174" i="84" s="1"/>
  <c r="E52" i="61"/>
  <c r="E54" i="61" s="1"/>
  <c r="B25" i="69" s="1"/>
  <c r="J173" i="55"/>
  <c r="I155" i="84"/>
  <c r="I159" i="84" s="1"/>
  <c r="J164" i="84"/>
  <c r="J176" i="55"/>
  <c r="J168" i="55"/>
  <c r="J166" i="55"/>
  <c r="J174" i="55"/>
  <c r="J162" i="55"/>
  <c r="J171" i="55"/>
  <c r="J160" i="72"/>
  <c r="J161" i="72"/>
  <c r="J141" i="72"/>
  <c r="F50" i="61"/>
  <c r="E178" i="72"/>
  <c r="E180" i="72" s="1"/>
  <c r="C19" i="21"/>
  <c r="I228" i="55"/>
  <c r="G129" i="55"/>
  <c r="I180" i="55" s="1"/>
  <c r="J140" i="72"/>
  <c r="J144" i="72"/>
  <c r="J179" i="55"/>
  <c r="F35" i="72"/>
  <c r="H156" i="72"/>
  <c r="F12" i="72"/>
  <c r="G127" i="55"/>
  <c r="I178" i="55" s="1"/>
  <c r="I226" i="55"/>
  <c r="J142" i="72"/>
  <c r="I161" i="72"/>
  <c r="I160" i="72"/>
  <c r="I141" i="72"/>
  <c r="G159" i="72"/>
  <c r="G146" i="72"/>
  <c r="G148" i="72" s="1"/>
  <c r="H129" i="55"/>
  <c r="J228" i="55"/>
  <c r="I225" i="55"/>
  <c r="G126" i="55"/>
  <c r="I177" i="55" s="1"/>
  <c r="H33" i="55"/>
  <c r="J169" i="55"/>
  <c r="J170" i="55"/>
  <c r="I208" i="55"/>
  <c r="G109" i="55"/>
  <c r="J225" i="55"/>
  <c r="H126" i="55"/>
  <c r="G32" i="72"/>
  <c r="H32" i="72"/>
  <c r="P170" i="84"/>
  <c r="P178" i="84"/>
  <c r="H254" i="55"/>
  <c r="H255" i="55"/>
  <c r="H160" i="55"/>
  <c r="H127" i="55"/>
  <c r="J226" i="55"/>
  <c r="I140" i="72"/>
  <c r="I144" i="72"/>
  <c r="J172" i="55"/>
  <c r="F10" i="55"/>
  <c r="F60" i="55"/>
  <c r="H182" i="55" s="1"/>
  <c r="J163" i="55"/>
  <c r="J208" i="55"/>
  <c r="H109" i="55"/>
  <c r="O172" i="84"/>
  <c r="O174" i="84" s="1"/>
  <c r="F170" i="84" s="1"/>
  <c r="O179" i="84"/>
  <c r="O181" i="84" s="1"/>
  <c r="F171" i="84" s="1"/>
  <c r="J167" i="55"/>
  <c r="F166" i="72"/>
  <c r="G33" i="55"/>
  <c r="G37" i="61"/>
  <c r="D9" i="21"/>
  <c r="G157" i="72"/>
  <c r="G158" i="72"/>
  <c r="G17" i="61"/>
  <c r="J164" i="55"/>
  <c r="J189" i="55"/>
  <c r="J192" i="55"/>
  <c r="C22" i="21"/>
  <c r="D129" i="29"/>
  <c r="D174" i="29"/>
  <c r="F231" i="53"/>
  <c r="F233" i="53" s="1"/>
  <c r="D144" i="29"/>
  <c r="D36" i="29"/>
  <c r="J202" i="55"/>
  <c r="D12" i="21"/>
  <c r="E174" i="29" s="1"/>
  <c r="J201" i="55"/>
  <c r="H224" i="53"/>
  <c r="G231" i="53"/>
  <c r="J199" i="55"/>
  <c r="J188" i="55"/>
  <c r="G168" i="53"/>
  <c r="E12" i="21" s="1"/>
  <c r="J190" i="55"/>
  <c r="J187" i="55"/>
  <c r="J191" i="55"/>
  <c r="I207" i="53"/>
  <c r="I148" i="53"/>
  <c r="H100" i="53"/>
  <c r="H99" i="53"/>
  <c r="H104" i="53"/>
  <c r="H103" i="53"/>
  <c r="H101" i="53"/>
  <c r="H56" i="84"/>
  <c r="G56" i="84"/>
  <c r="H57" i="84"/>
  <c r="G57" i="84"/>
  <c r="F260" i="55"/>
  <c r="F262" i="55" s="1"/>
  <c r="H7" i="61"/>
  <c r="G259" i="55" s="1"/>
  <c r="H221" i="53"/>
  <c r="H164" i="53"/>
  <c r="H244" i="55"/>
  <c r="F145" i="55"/>
  <c r="H197" i="55" s="1"/>
  <c r="F194" i="55"/>
  <c r="F204" i="55" s="1"/>
  <c r="P261" i="55"/>
  <c r="N264" i="55"/>
  <c r="N266" i="55" s="1"/>
  <c r="N271" i="55"/>
  <c r="N273" i="55" s="1"/>
  <c r="H217" i="53"/>
  <c r="H160" i="53"/>
  <c r="J209" i="53"/>
  <c r="J150" i="53"/>
  <c r="F175" i="29"/>
  <c r="F130" i="29"/>
  <c r="F160" i="29"/>
  <c r="F145" i="29"/>
  <c r="F37" i="29"/>
  <c r="I39" i="61"/>
  <c r="F9" i="69" s="1"/>
  <c r="G31" i="68" s="1"/>
  <c r="F13" i="21"/>
  <c r="J185" i="55"/>
  <c r="H54" i="83"/>
  <c r="H47" i="55" s="1"/>
  <c r="H99" i="55" s="1"/>
  <c r="G47" i="55"/>
  <c r="G99" i="55" s="1"/>
  <c r="J200" i="55"/>
  <c r="E12" i="84"/>
  <c r="E42" i="84"/>
  <c r="F96" i="55"/>
  <c r="F56" i="55"/>
  <c r="J186" i="55"/>
  <c r="H161" i="53"/>
  <c r="H218" i="53"/>
  <c r="H59" i="84"/>
  <c r="G59" i="84"/>
  <c r="B15" i="21"/>
  <c r="C170" i="29"/>
  <c r="C177" i="29" s="1"/>
  <c r="C140" i="29"/>
  <c r="C147" i="29" s="1"/>
  <c r="C125" i="29"/>
  <c r="C132" i="29" s="1"/>
  <c r="C32" i="29"/>
  <c r="C39" i="29" s="1"/>
  <c r="C155" i="29"/>
  <c r="C162" i="29" s="1"/>
  <c r="H22" i="84"/>
  <c r="G22" i="84"/>
  <c r="H51" i="83"/>
  <c r="H44" i="55" s="1"/>
  <c r="G44" i="55"/>
  <c r="I208" i="53"/>
  <c r="I149" i="53"/>
  <c r="H23" i="84"/>
  <c r="H54" i="84" s="1"/>
  <c r="G23" i="84"/>
  <c r="G54" i="84" s="1"/>
  <c r="H53" i="83"/>
  <c r="H46" i="55" s="1"/>
  <c r="H98" i="55" s="1"/>
  <c r="G46" i="55"/>
  <c r="G98" i="55" s="1"/>
  <c r="I185" i="55"/>
  <c r="O270" i="55"/>
  <c r="O262" i="55"/>
  <c r="H52" i="83"/>
  <c r="H45" i="55" s="1"/>
  <c r="H97" i="55" s="1"/>
  <c r="G45" i="55"/>
  <c r="G97" i="55" s="1"/>
  <c r="C18" i="21"/>
  <c r="E272" i="55"/>
  <c r="E275" i="55" s="1"/>
  <c r="H165" i="53"/>
  <c r="H222" i="53"/>
  <c r="H225" i="53"/>
  <c r="H58" i="84"/>
  <c r="G58" i="84"/>
  <c r="G241" i="55"/>
  <c r="E142" i="55"/>
  <c r="J208" i="53"/>
  <c r="J149" i="53"/>
  <c r="H243" i="55"/>
  <c r="F144" i="55"/>
  <c r="H196" i="55" s="1"/>
  <c r="H24" i="84"/>
  <c r="H55" i="84" s="1"/>
  <c r="G24" i="84"/>
  <c r="G55" i="84" s="1"/>
  <c r="F41" i="61"/>
  <c r="C8" i="21"/>
  <c r="H242" i="55"/>
  <c r="F143" i="55"/>
  <c r="H195" i="55" s="1"/>
  <c r="H216" i="53"/>
  <c r="H159" i="53"/>
  <c r="I209" i="53"/>
  <c r="I150" i="53"/>
  <c r="F53" i="84"/>
  <c r="Q169" i="84"/>
  <c r="H60" i="84"/>
  <c r="G60" i="84"/>
  <c r="J207" i="53"/>
  <c r="J148" i="53"/>
  <c r="I101" i="53"/>
  <c r="I100" i="53"/>
  <c r="I103" i="53"/>
  <c r="I104" i="53"/>
  <c r="I99" i="53"/>
  <c r="G230" i="53"/>
  <c r="G58" i="22"/>
  <c r="I45" i="22"/>
  <c r="H67" i="22"/>
  <c r="G61" i="22"/>
  <c r="G40" i="22"/>
  <c r="M68" i="22"/>
  <c r="Q56" i="22"/>
  <c r="Q58" i="22" s="1"/>
  <c r="G43" i="22"/>
  <c r="F68" i="22"/>
  <c r="M67" i="22"/>
  <c r="N65" i="22"/>
  <c r="P57" i="22"/>
  <c r="P62" i="22"/>
  <c r="P63" i="22" s="1"/>
  <c r="O50" i="22"/>
  <c r="O52" i="22" s="1"/>
  <c r="H49" i="22"/>
  <c r="E13" i="69" l="1"/>
  <c r="D14" i="69"/>
  <c r="D15" i="69" s="1"/>
  <c r="F11" i="29"/>
  <c r="E45" i="29"/>
  <c r="E60" i="29"/>
  <c r="F96" i="29"/>
  <c r="D96" i="22"/>
  <c r="N44" i="22"/>
  <c r="N45" i="22" s="1"/>
  <c r="E21" i="61"/>
  <c r="E42" i="61" s="1"/>
  <c r="B10" i="69" s="1"/>
  <c r="C32" i="68" s="1"/>
  <c r="G9" i="61"/>
  <c r="G12" i="61" s="1"/>
  <c r="F9" i="61"/>
  <c r="F12" i="61" s="1"/>
  <c r="C12" i="68"/>
  <c r="B27" i="69"/>
  <c r="E173" i="84"/>
  <c r="E176" i="84" s="1"/>
  <c r="C23" i="21" s="1"/>
  <c r="C25" i="21" s="1"/>
  <c r="D176" i="84"/>
  <c r="G18" i="61"/>
  <c r="F174" i="84" s="1"/>
  <c r="G173" i="84" s="1"/>
  <c r="G52" i="61"/>
  <c r="J178" i="55"/>
  <c r="J177" i="55"/>
  <c r="J180" i="55"/>
  <c r="E36" i="29"/>
  <c r="E159" i="29"/>
  <c r="E129" i="29"/>
  <c r="E144" i="29"/>
  <c r="F21" i="61"/>
  <c r="F42" i="61" s="1"/>
  <c r="H157" i="72"/>
  <c r="H158" i="72"/>
  <c r="Q170" i="84"/>
  <c r="Q178" i="84"/>
  <c r="E156" i="29"/>
  <c r="E141" i="29"/>
  <c r="E126" i="29"/>
  <c r="E33" i="29"/>
  <c r="E171" i="29"/>
  <c r="H8" i="61"/>
  <c r="F167" i="72"/>
  <c r="F169" i="72" s="1"/>
  <c r="J160" i="55"/>
  <c r="J254" i="55"/>
  <c r="J255" i="55"/>
  <c r="H252" i="55"/>
  <c r="H253" i="55"/>
  <c r="J156" i="72"/>
  <c r="H35" i="72"/>
  <c r="H12" i="72"/>
  <c r="I254" i="55"/>
  <c r="I160" i="55"/>
  <c r="I255" i="55"/>
  <c r="H10" i="55"/>
  <c r="H60" i="55"/>
  <c r="J182" i="55" s="1"/>
  <c r="H159" i="72"/>
  <c r="H146" i="72"/>
  <c r="H148" i="72" s="1"/>
  <c r="G10" i="55"/>
  <c r="G60" i="55"/>
  <c r="I182" i="55" s="1"/>
  <c r="P172" i="84"/>
  <c r="P174" i="84" s="1"/>
  <c r="G170" i="84" s="1"/>
  <c r="P179" i="84"/>
  <c r="P181" i="84" s="1"/>
  <c r="G171" i="84" s="1"/>
  <c r="H17" i="61"/>
  <c r="I156" i="72"/>
  <c r="G35" i="72"/>
  <c r="G12" i="72"/>
  <c r="H37" i="61"/>
  <c r="E9" i="21"/>
  <c r="D22" i="21"/>
  <c r="F245" i="53"/>
  <c r="F247" i="53" s="1"/>
  <c r="I6" i="61"/>
  <c r="H230" i="53" s="1"/>
  <c r="G233" i="53"/>
  <c r="E22" i="21" s="1"/>
  <c r="J159" i="84"/>
  <c r="H13" i="21" s="1"/>
  <c r="H231" i="53"/>
  <c r="I225" i="53"/>
  <c r="H168" i="53"/>
  <c r="F272" i="55"/>
  <c r="F275" i="55" s="1"/>
  <c r="D18" i="21"/>
  <c r="J221" i="53"/>
  <c r="J164" i="53"/>
  <c r="I242" i="55"/>
  <c r="G143" i="55"/>
  <c r="I195" i="55" s="1"/>
  <c r="J242" i="55"/>
  <c r="H143" i="55"/>
  <c r="I243" i="55"/>
  <c r="G144" i="55"/>
  <c r="I196" i="55" s="1"/>
  <c r="G96" i="55"/>
  <c r="G56" i="55"/>
  <c r="H241" i="55"/>
  <c r="F142" i="55"/>
  <c r="I216" i="53"/>
  <c r="I159" i="53"/>
  <c r="J160" i="53"/>
  <c r="J217" i="53"/>
  <c r="J216" i="53"/>
  <c r="J159" i="53"/>
  <c r="J161" i="53"/>
  <c r="J218" i="53"/>
  <c r="G194" i="55"/>
  <c r="G204" i="55" s="1"/>
  <c r="Q261" i="55"/>
  <c r="J243" i="55"/>
  <c r="H144" i="55"/>
  <c r="H96" i="55"/>
  <c r="H56" i="55"/>
  <c r="F54" i="61"/>
  <c r="C25" i="69" s="1"/>
  <c r="I161" i="53"/>
  <c r="I218" i="53"/>
  <c r="I217" i="53"/>
  <c r="I160" i="53"/>
  <c r="J225" i="53"/>
  <c r="J222" i="53"/>
  <c r="J165" i="53"/>
  <c r="F12" i="84"/>
  <c r="F42" i="84"/>
  <c r="G53" i="84"/>
  <c r="R169" i="84"/>
  <c r="I221" i="53"/>
  <c r="I164" i="53"/>
  <c r="D125" i="29"/>
  <c r="D132" i="29" s="1"/>
  <c r="D155" i="29"/>
  <c r="D162" i="29" s="1"/>
  <c r="D32" i="29"/>
  <c r="D39" i="29" s="1"/>
  <c r="D140" i="29"/>
  <c r="D147" i="29" s="1"/>
  <c r="D170" i="29"/>
  <c r="D177" i="29" s="1"/>
  <c r="C15" i="21"/>
  <c r="O264" i="55"/>
  <c r="O266" i="55" s="1"/>
  <c r="O271" i="55"/>
  <c r="O273" i="55" s="1"/>
  <c r="H53" i="84"/>
  <c r="S169" i="84"/>
  <c r="C6" i="68"/>
  <c r="I244" i="55"/>
  <c r="G145" i="55"/>
  <c r="I197" i="55" s="1"/>
  <c r="G160" i="29"/>
  <c r="G145" i="29"/>
  <c r="G37" i="29"/>
  <c r="G175" i="29"/>
  <c r="G130" i="29"/>
  <c r="P262" i="55"/>
  <c r="P270" i="55"/>
  <c r="I224" i="53"/>
  <c r="F129" i="29"/>
  <c r="F159" i="29"/>
  <c r="F144" i="29"/>
  <c r="F36" i="29"/>
  <c r="F174" i="29"/>
  <c r="J224" i="53"/>
  <c r="J244" i="55"/>
  <c r="H145" i="55"/>
  <c r="G41" i="61"/>
  <c r="D8" i="21"/>
  <c r="I222" i="53"/>
  <c r="I165" i="53"/>
  <c r="J39" i="61"/>
  <c r="G9" i="69" s="1"/>
  <c r="H31" i="68" s="1"/>
  <c r="G13" i="21"/>
  <c r="I67" i="22"/>
  <c r="G64" i="22"/>
  <c r="H55" i="22"/>
  <c r="H37" i="22"/>
  <c r="Q57" i="22"/>
  <c r="N46" i="22"/>
  <c r="P49" i="22"/>
  <c r="H52" i="22"/>
  <c r="P64" i="22"/>
  <c r="Q61" i="22" s="1"/>
  <c r="G46" i="22"/>
  <c r="G65" i="22"/>
  <c r="O51" i="22"/>
  <c r="O43" i="22" l="1"/>
  <c r="N66" i="22"/>
  <c r="E44" i="61"/>
  <c r="E55" i="61" s="1"/>
  <c r="E56" i="61" s="1"/>
  <c r="D11" i="62" s="1"/>
  <c r="E21" i="62" s="1"/>
  <c r="E185" i="84"/>
  <c r="E187" i="84" s="1"/>
  <c r="F176" i="84"/>
  <c r="D23" i="21" s="1"/>
  <c r="H9" i="61"/>
  <c r="H12" i="61" s="1"/>
  <c r="H18" i="61"/>
  <c r="G174" i="84" s="1"/>
  <c r="H173" i="84" s="1"/>
  <c r="H52" i="61"/>
  <c r="D185" i="84"/>
  <c r="D187" i="84" s="1"/>
  <c r="B23" i="21"/>
  <c r="B25" i="21" s="1"/>
  <c r="D12" i="68"/>
  <c r="C27" i="69"/>
  <c r="F44" i="61"/>
  <c r="F55" i="61" s="1"/>
  <c r="C10" i="69"/>
  <c r="D32" i="68" s="1"/>
  <c r="G21" i="61"/>
  <c r="G42" i="61" s="1"/>
  <c r="G166" i="72"/>
  <c r="Q179" i="84"/>
  <c r="Q181" i="84" s="1"/>
  <c r="H171" i="84" s="1"/>
  <c r="Q172" i="84"/>
  <c r="Q174" i="84" s="1"/>
  <c r="H170" i="84" s="1"/>
  <c r="G167" i="72"/>
  <c r="I8" i="61"/>
  <c r="I252" i="55"/>
  <c r="I253" i="55"/>
  <c r="J252" i="55"/>
  <c r="J253" i="55"/>
  <c r="J157" i="72"/>
  <c r="J158" i="72"/>
  <c r="F178" i="72"/>
  <c r="F180" i="72" s="1"/>
  <c r="D19" i="21"/>
  <c r="G50" i="61"/>
  <c r="I17" i="61"/>
  <c r="F171" i="29"/>
  <c r="F156" i="29"/>
  <c r="F141" i="29"/>
  <c r="F126" i="29"/>
  <c r="F33" i="29"/>
  <c r="I159" i="72"/>
  <c r="I146" i="72"/>
  <c r="I148" i="72" s="1"/>
  <c r="S178" i="84"/>
  <c r="S170" i="84"/>
  <c r="R170" i="84"/>
  <c r="R178" i="84"/>
  <c r="I157" i="72"/>
  <c r="I158" i="72"/>
  <c r="F9" i="21"/>
  <c r="I37" i="61"/>
  <c r="J159" i="72"/>
  <c r="J146" i="72"/>
  <c r="J148" i="72" s="1"/>
  <c r="C28" i="68"/>
  <c r="C29" i="68" s="1"/>
  <c r="K39" i="61"/>
  <c r="H9" i="69" s="1"/>
  <c r="I31" i="68" s="1"/>
  <c r="G245" i="53"/>
  <c r="G247" i="53" s="1"/>
  <c r="J6" i="61"/>
  <c r="I230" i="53" s="1"/>
  <c r="J168" i="53"/>
  <c r="K6" i="61"/>
  <c r="J196" i="55"/>
  <c r="J231" i="53"/>
  <c r="H233" i="53"/>
  <c r="F22" i="21" s="1"/>
  <c r="J197" i="55"/>
  <c r="F12" i="21"/>
  <c r="G129" i="29" s="1"/>
  <c r="I168" i="53"/>
  <c r="H260" i="55"/>
  <c r="J7" i="61"/>
  <c r="I259" i="55" s="1"/>
  <c r="D6" i="68"/>
  <c r="I175" i="29"/>
  <c r="I130" i="29"/>
  <c r="I37" i="29"/>
  <c r="I160" i="29"/>
  <c r="I145" i="29"/>
  <c r="J241" i="55"/>
  <c r="J260" i="55" s="1"/>
  <c r="H142" i="55"/>
  <c r="G260" i="55"/>
  <c r="G262" i="55" s="1"/>
  <c r="I7" i="61"/>
  <c r="I241" i="55"/>
  <c r="G142" i="55"/>
  <c r="E155" i="29"/>
  <c r="E162" i="29" s="1"/>
  <c r="E32" i="29"/>
  <c r="E39" i="29" s="1"/>
  <c r="E140" i="29"/>
  <c r="E147" i="29" s="1"/>
  <c r="E170" i="29"/>
  <c r="E177" i="29" s="1"/>
  <c r="E125" i="29"/>
  <c r="E132" i="29" s="1"/>
  <c r="D15" i="21"/>
  <c r="P264" i="55"/>
  <c r="P266" i="55" s="1"/>
  <c r="P271" i="55"/>
  <c r="P273" i="55" s="1"/>
  <c r="H12" i="84"/>
  <c r="H42" i="84"/>
  <c r="G12" i="84"/>
  <c r="G42" i="84"/>
  <c r="H145" i="29"/>
  <c r="H175" i="29"/>
  <c r="H130" i="29"/>
  <c r="H37" i="29"/>
  <c r="H160" i="29"/>
  <c r="Q262" i="55"/>
  <c r="Q270" i="55"/>
  <c r="D41" i="29"/>
  <c r="D43" i="29" s="1"/>
  <c r="D47" i="29" s="1"/>
  <c r="D23" i="68"/>
  <c r="D135" i="29"/>
  <c r="D136" i="29" s="1"/>
  <c r="D137" i="29" s="1"/>
  <c r="D180" i="29"/>
  <c r="D181" i="29" s="1"/>
  <c r="D182" i="29" s="1"/>
  <c r="C38" i="21"/>
  <c r="C40" i="21" s="1"/>
  <c r="D165" i="29"/>
  <c r="D166" i="29" s="1"/>
  <c r="D167" i="29" s="1"/>
  <c r="D150" i="29"/>
  <c r="D151" i="29" s="1"/>
  <c r="D152" i="29" s="1"/>
  <c r="H41" i="61"/>
  <c r="E8" i="21"/>
  <c r="H194" i="55"/>
  <c r="H204" i="55" s="1"/>
  <c r="R261" i="55"/>
  <c r="J195" i="55"/>
  <c r="H61" i="22"/>
  <c r="H58" i="22"/>
  <c r="H40" i="22"/>
  <c r="N68" i="22"/>
  <c r="Q62" i="22"/>
  <c r="Q63" i="22" s="1"/>
  <c r="H43" i="22"/>
  <c r="G68" i="22"/>
  <c r="O44" i="22"/>
  <c r="O65" i="22"/>
  <c r="P50" i="22"/>
  <c r="P51" i="22" s="1"/>
  <c r="N67" i="22"/>
  <c r="I49" i="22"/>
  <c r="E97" i="22" l="1"/>
  <c r="E42" i="21"/>
  <c r="F13" i="69"/>
  <c r="O66" i="22"/>
  <c r="J41" i="21"/>
  <c r="I9" i="61"/>
  <c r="I12" i="61" s="1"/>
  <c r="G176" i="84"/>
  <c r="D13" i="68"/>
  <c r="C135" i="29"/>
  <c r="C136" i="29" s="1"/>
  <c r="C137" i="29" s="1"/>
  <c r="B38" i="21"/>
  <c r="B40" i="21" s="1"/>
  <c r="C165" i="29"/>
  <c r="C166" i="29" s="1"/>
  <c r="C167" i="29" s="1"/>
  <c r="C180" i="29"/>
  <c r="C181" i="29" s="1"/>
  <c r="C182" i="29" s="1"/>
  <c r="C23" i="68"/>
  <c r="C41" i="29"/>
  <c r="C43" i="29" s="1"/>
  <c r="C47" i="29" s="1"/>
  <c r="C150" i="29"/>
  <c r="C151" i="29" s="1"/>
  <c r="C152" i="29" s="1"/>
  <c r="F185" i="84"/>
  <c r="F187" i="84" s="1"/>
  <c r="G44" i="61"/>
  <c r="D10" i="69"/>
  <c r="E32" i="68" s="1"/>
  <c r="I52" i="61"/>
  <c r="I18" i="61"/>
  <c r="H174" i="84" s="1"/>
  <c r="I173" i="84" s="1"/>
  <c r="F56" i="61"/>
  <c r="G54" i="61"/>
  <c r="D25" i="21"/>
  <c r="E135" i="29" s="1"/>
  <c r="E136" i="29" s="1"/>
  <c r="E137" i="29" s="1"/>
  <c r="D28" i="68"/>
  <c r="D29" i="68" s="1"/>
  <c r="S179" i="84"/>
  <c r="S181" i="84" s="1"/>
  <c r="J171" i="84" s="1"/>
  <c r="S172" i="84"/>
  <c r="S174" i="84" s="1"/>
  <c r="J170" i="84" s="1"/>
  <c r="G156" i="29"/>
  <c r="G141" i="29"/>
  <c r="G126" i="29"/>
  <c r="G33" i="29"/>
  <c r="G171" i="29"/>
  <c r="J8" i="61"/>
  <c r="H167" i="72"/>
  <c r="H166" i="72"/>
  <c r="K37" i="61"/>
  <c r="H9" i="21"/>
  <c r="J37" i="61"/>
  <c r="G9" i="21"/>
  <c r="K17" i="61"/>
  <c r="G169" i="72"/>
  <c r="J17" i="61"/>
  <c r="R179" i="84"/>
  <c r="R181" i="84" s="1"/>
  <c r="I171" i="84" s="1"/>
  <c r="R172" i="84"/>
  <c r="R174" i="84" s="1"/>
  <c r="I170" i="84" s="1"/>
  <c r="I231" i="53"/>
  <c r="I233" i="53" s="1"/>
  <c r="G36" i="29"/>
  <c r="G174" i="29"/>
  <c r="H245" i="53"/>
  <c r="H247" i="53" s="1"/>
  <c r="G144" i="29"/>
  <c r="G159" i="29"/>
  <c r="H12" i="21"/>
  <c r="I36" i="29" s="1"/>
  <c r="H21" i="61"/>
  <c r="H42" i="61" s="1"/>
  <c r="G12" i="21"/>
  <c r="H174" i="29" s="1"/>
  <c r="I194" i="55"/>
  <c r="I204" i="55" s="1"/>
  <c r="S261" i="55"/>
  <c r="J194" i="55"/>
  <c r="J204" i="55" s="1"/>
  <c r="T261" i="55"/>
  <c r="I260" i="55"/>
  <c r="I262" i="55" s="1"/>
  <c r="K7" i="61"/>
  <c r="J259" i="55" s="1"/>
  <c r="J262" i="55" s="1"/>
  <c r="R262" i="55"/>
  <c r="R270" i="55"/>
  <c r="C45" i="21"/>
  <c r="D109" i="29"/>
  <c r="D12" i="62"/>
  <c r="E20" i="62" s="1"/>
  <c r="I41" i="61"/>
  <c r="F8" i="21"/>
  <c r="Q271" i="55"/>
  <c r="Q273" i="55" s="1"/>
  <c r="Q264" i="55"/>
  <c r="Q266" i="55" s="1"/>
  <c r="E6" i="68"/>
  <c r="H259" i="55"/>
  <c r="H262" i="55" s="1"/>
  <c r="J230" i="53"/>
  <c r="J233" i="53" s="1"/>
  <c r="F140" i="29"/>
  <c r="F147" i="29" s="1"/>
  <c r="F32" i="29"/>
  <c r="F39" i="29" s="1"/>
  <c r="F170" i="29"/>
  <c r="F177" i="29" s="1"/>
  <c r="F125" i="29"/>
  <c r="F132" i="29" s="1"/>
  <c r="E15" i="21"/>
  <c r="F155" i="29"/>
  <c r="F162" i="29" s="1"/>
  <c r="G272" i="55"/>
  <c r="G275" i="55" s="1"/>
  <c r="E18" i="21"/>
  <c r="I55" i="22"/>
  <c r="H64" i="22"/>
  <c r="I37" i="22"/>
  <c r="O46" i="22"/>
  <c r="Q64" i="22"/>
  <c r="I52" i="22"/>
  <c r="H46" i="22"/>
  <c r="H65" i="22"/>
  <c r="O45" i="22"/>
  <c r="P52" i="22"/>
  <c r="E14" i="69" l="1"/>
  <c r="E15" i="69" s="1"/>
  <c r="E96" i="22"/>
  <c r="F45" i="29"/>
  <c r="F60" i="29"/>
  <c r="G11" i="29"/>
  <c r="G96" i="29"/>
  <c r="P43" i="22"/>
  <c r="F97" i="22"/>
  <c r="F42" i="21"/>
  <c r="G185" i="84"/>
  <c r="G187" i="84" s="1"/>
  <c r="E23" i="21"/>
  <c r="H44" i="61"/>
  <c r="E10" i="69"/>
  <c r="F32" i="68" s="1"/>
  <c r="G55" i="61"/>
  <c r="G56" i="61" s="1"/>
  <c r="D25" i="69"/>
  <c r="J52" i="61"/>
  <c r="J18" i="61"/>
  <c r="I174" i="84" s="1"/>
  <c r="J173" i="84" s="1"/>
  <c r="B45" i="21"/>
  <c r="C109" i="29"/>
  <c r="K52" i="61"/>
  <c r="K18" i="61"/>
  <c r="J174" i="84" s="1"/>
  <c r="E23" i="68"/>
  <c r="E165" i="29"/>
  <c r="E166" i="29" s="1"/>
  <c r="E167" i="29" s="1"/>
  <c r="C10" i="68"/>
  <c r="D4" i="23"/>
  <c r="E150" i="29"/>
  <c r="E151" i="29" s="1"/>
  <c r="E152" i="29" s="1"/>
  <c r="D38" i="21"/>
  <c r="D40" i="21" s="1"/>
  <c r="D45" i="21" s="1"/>
  <c r="E180" i="29"/>
  <c r="E181" i="29" s="1"/>
  <c r="E182" i="29" s="1"/>
  <c r="E41" i="29"/>
  <c r="E43" i="29" s="1"/>
  <c r="E47" i="29" s="1"/>
  <c r="H169" i="72"/>
  <c r="H178" i="72" s="1"/>
  <c r="H180" i="72" s="1"/>
  <c r="H176" i="84"/>
  <c r="F23" i="21" s="1"/>
  <c r="I245" i="53"/>
  <c r="I247" i="53" s="1"/>
  <c r="G22" i="21"/>
  <c r="G178" i="72"/>
  <c r="G180" i="72" s="1"/>
  <c r="H50" i="61"/>
  <c r="H54" i="61" s="1"/>
  <c r="E19" i="21"/>
  <c r="E25" i="21" s="1"/>
  <c r="F41" i="29" s="1"/>
  <c r="F43" i="29" s="1"/>
  <c r="I166" i="72"/>
  <c r="J167" i="72"/>
  <c r="H156" i="29"/>
  <c r="H141" i="29"/>
  <c r="H126" i="29"/>
  <c r="H33" i="29"/>
  <c r="H171" i="29"/>
  <c r="F19" i="21"/>
  <c r="I159" i="29"/>
  <c r="I156" i="29"/>
  <c r="I141" i="29"/>
  <c r="I126" i="29"/>
  <c r="I33" i="29"/>
  <c r="I171" i="29"/>
  <c r="I167" i="72"/>
  <c r="K8" i="61"/>
  <c r="H144" i="29"/>
  <c r="I174" i="29"/>
  <c r="I144" i="29"/>
  <c r="H159" i="29"/>
  <c r="H36" i="29"/>
  <c r="H129" i="29"/>
  <c r="I129" i="29"/>
  <c r="T270" i="55"/>
  <c r="T262" i="55"/>
  <c r="R271" i="55"/>
  <c r="R273" i="55" s="1"/>
  <c r="R264" i="55"/>
  <c r="R266" i="55" s="1"/>
  <c r="H8" i="21"/>
  <c r="K41" i="61"/>
  <c r="F6" i="68"/>
  <c r="H272" i="55"/>
  <c r="H275" i="55" s="1"/>
  <c r="F18" i="21"/>
  <c r="G125" i="29"/>
  <c r="G132" i="29" s="1"/>
  <c r="G155" i="29"/>
  <c r="G162" i="29" s="1"/>
  <c r="F15" i="21"/>
  <c r="G140" i="29"/>
  <c r="G147" i="29" s="1"/>
  <c r="G170" i="29"/>
  <c r="G177" i="29" s="1"/>
  <c r="G32" i="29"/>
  <c r="G39" i="29" s="1"/>
  <c r="C15" i="29"/>
  <c r="C83" i="29"/>
  <c r="D22" i="29"/>
  <c r="C71" i="29"/>
  <c r="C94" i="29"/>
  <c r="E28" i="68"/>
  <c r="E29" i="68" s="1"/>
  <c r="S270" i="55"/>
  <c r="S262" i="55"/>
  <c r="I272" i="55"/>
  <c r="I275" i="55" s="1"/>
  <c r="G18" i="21"/>
  <c r="J245" i="53"/>
  <c r="J247" i="53" s="1"/>
  <c r="H22" i="21"/>
  <c r="J9" i="61"/>
  <c r="J12" i="61" s="1"/>
  <c r="I21" i="61"/>
  <c r="I42" i="61" s="1"/>
  <c r="J41" i="61"/>
  <c r="G8" i="21"/>
  <c r="H18" i="21"/>
  <c r="J272" i="55"/>
  <c r="J275" i="55" s="1"/>
  <c r="I61" i="22"/>
  <c r="O68" i="22"/>
  <c r="I58" i="22"/>
  <c r="I40" i="22"/>
  <c r="Q49" i="22"/>
  <c r="O67" i="22"/>
  <c r="I43" i="22"/>
  <c r="H68" i="22"/>
  <c r="F47" i="29" l="1"/>
  <c r="P65" i="22"/>
  <c r="G13" i="69" s="1"/>
  <c r="F14" i="69"/>
  <c r="F15" i="69" s="1"/>
  <c r="H96" i="29"/>
  <c r="G45" i="29"/>
  <c r="H11" i="29"/>
  <c r="F96" i="22"/>
  <c r="G60" i="29"/>
  <c r="P44" i="22"/>
  <c r="E109" i="29"/>
  <c r="K21" i="61"/>
  <c r="K42" i="61" s="1"/>
  <c r="H10" i="69" s="1"/>
  <c r="E12" i="68"/>
  <c r="E13" i="68" s="1"/>
  <c r="D27" i="69"/>
  <c r="H55" i="61"/>
  <c r="H56" i="61" s="1"/>
  <c r="E25" i="69"/>
  <c r="K9" i="61"/>
  <c r="K12" i="61" s="1"/>
  <c r="I44" i="61"/>
  <c r="F10" i="69"/>
  <c r="G32" i="68" s="1"/>
  <c r="F28" i="68"/>
  <c r="F29" i="68" s="1"/>
  <c r="C10" i="23"/>
  <c r="D8" i="23"/>
  <c r="I50" i="61"/>
  <c r="F25" i="21"/>
  <c r="G150" i="29" s="1"/>
  <c r="G151" i="29" s="1"/>
  <c r="G152" i="29" s="1"/>
  <c r="H185" i="84"/>
  <c r="H187" i="84" s="1"/>
  <c r="I54" i="61"/>
  <c r="I176" i="84"/>
  <c r="I185" i="84" s="1"/>
  <c r="I187" i="84" s="1"/>
  <c r="J166" i="72"/>
  <c r="J169" i="72" s="1"/>
  <c r="J176" i="84"/>
  <c r="J185" i="84" s="1"/>
  <c r="J187" i="84" s="1"/>
  <c r="I169" i="72"/>
  <c r="F135" i="29"/>
  <c r="F136" i="29" s="1"/>
  <c r="F137" i="29" s="1"/>
  <c r="F150" i="29"/>
  <c r="F151" i="29" s="1"/>
  <c r="F152" i="29" s="1"/>
  <c r="F23" i="68"/>
  <c r="F180" i="29"/>
  <c r="F181" i="29" s="1"/>
  <c r="F182" i="29" s="1"/>
  <c r="F165" i="29"/>
  <c r="F166" i="29" s="1"/>
  <c r="F167" i="29" s="1"/>
  <c r="E38" i="21"/>
  <c r="E40" i="21" s="1"/>
  <c r="F109" i="29" s="1"/>
  <c r="J21" i="61"/>
  <c r="J42" i="61" s="1"/>
  <c r="C7" i="68"/>
  <c r="C13" i="68" s="1"/>
  <c r="B33" i="69"/>
  <c r="C33" i="69" s="1"/>
  <c r="D33" i="69" s="1"/>
  <c r="E33" i="69" s="1"/>
  <c r="F33" i="69" s="1"/>
  <c r="G33" i="69" s="1"/>
  <c r="H33" i="69" s="1"/>
  <c r="E22" i="62"/>
  <c r="G6" i="68"/>
  <c r="I140" i="29"/>
  <c r="I147" i="29" s="1"/>
  <c r="H15" i="21"/>
  <c r="I170" i="29"/>
  <c r="I177" i="29" s="1"/>
  <c r="I125" i="29"/>
  <c r="I132" i="29" s="1"/>
  <c r="I32" i="29"/>
  <c r="I39" i="29" s="1"/>
  <c r="I155" i="29"/>
  <c r="I162" i="29" s="1"/>
  <c r="T264" i="55"/>
  <c r="T266" i="55" s="1"/>
  <c r="T271" i="55"/>
  <c r="T273" i="55" s="1"/>
  <c r="S271" i="55"/>
  <c r="S273" i="55" s="1"/>
  <c r="S264" i="55"/>
  <c r="S266" i="55" s="1"/>
  <c r="H155" i="29"/>
  <c r="H162" i="29" s="1"/>
  <c r="G15" i="21"/>
  <c r="H140" i="29"/>
  <c r="H147" i="29" s="1"/>
  <c r="H170" i="29"/>
  <c r="H177" i="29" s="1"/>
  <c r="H125" i="29"/>
  <c r="H132" i="29" s="1"/>
  <c r="H32" i="29"/>
  <c r="H39" i="29" s="1"/>
  <c r="I64" i="22"/>
  <c r="P45" i="22"/>
  <c r="Q50" i="22"/>
  <c r="Q52" i="22" s="1"/>
  <c r="I46" i="22"/>
  <c r="I65" i="22"/>
  <c r="P67" i="22" l="1"/>
  <c r="P66" i="22"/>
  <c r="P46" i="22"/>
  <c r="K44" i="61"/>
  <c r="F12" i="68"/>
  <c r="F13" i="68" s="1"/>
  <c r="E27" i="69"/>
  <c r="I55" i="61"/>
  <c r="I56" i="61" s="1"/>
  <c r="F25" i="69"/>
  <c r="J44" i="61"/>
  <c r="G10" i="69"/>
  <c r="G41" i="29"/>
  <c r="G43" i="29" s="1"/>
  <c r="G47" i="29" s="1"/>
  <c r="F42" i="23"/>
  <c r="F16" i="23"/>
  <c r="F22" i="23"/>
  <c r="F38" i="23"/>
  <c r="F24" i="23"/>
  <c r="F27" i="23"/>
  <c r="F28" i="23"/>
  <c r="F36" i="23"/>
  <c r="F31" i="23"/>
  <c r="F35" i="23"/>
  <c r="F26" i="23"/>
  <c r="F43" i="23"/>
  <c r="F44" i="23"/>
  <c r="F29" i="23"/>
  <c r="F41" i="23"/>
  <c r="F37" i="23"/>
  <c r="F20" i="23"/>
  <c r="F45" i="23"/>
  <c r="F17" i="23"/>
  <c r="F33" i="23"/>
  <c r="F19" i="23"/>
  <c r="F21" i="23"/>
  <c r="F32" i="23"/>
  <c r="F25" i="23"/>
  <c r="F30" i="23"/>
  <c r="F18" i="23"/>
  <c r="F40" i="23"/>
  <c r="F39" i="23"/>
  <c r="F23" i="23"/>
  <c r="F34" i="23"/>
  <c r="D10" i="23"/>
  <c r="F38" i="21"/>
  <c r="F40" i="21" s="1"/>
  <c r="G109" i="29" s="1"/>
  <c r="G180" i="29"/>
  <c r="G181" i="29" s="1"/>
  <c r="G182" i="29" s="1"/>
  <c r="G165" i="29"/>
  <c r="G166" i="29" s="1"/>
  <c r="G167" i="29" s="1"/>
  <c r="G23" i="68"/>
  <c r="G135" i="29"/>
  <c r="G136" i="29" s="1"/>
  <c r="G137" i="29" s="1"/>
  <c r="G23" i="21"/>
  <c r="G25" i="21" s="1"/>
  <c r="H23" i="21"/>
  <c r="E45" i="21"/>
  <c r="G19" i="21"/>
  <c r="J50" i="61"/>
  <c r="I178" i="72"/>
  <c r="I180" i="72" s="1"/>
  <c r="K50" i="61"/>
  <c r="K54" i="61" s="1"/>
  <c r="H19" i="21"/>
  <c r="J178" i="72"/>
  <c r="J180" i="72" s="1"/>
  <c r="I6" i="68"/>
  <c r="H6" i="68"/>
  <c r="I68" i="22"/>
  <c r="P68" i="22"/>
  <c r="Q51" i="22"/>
  <c r="Q43" i="22" l="1"/>
  <c r="G97" i="22"/>
  <c r="G42" i="21"/>
  <c r="G12" i="68"/>
  <c r="G13" i="68" s="1"/>
  <c r="F27" i="69"/>
  <c r="K55" i="61"/>
  <c r="K56" i="61" s="1"/>
  <c r="H25" i="69"/>
  <c r="H32" i="68"/>
  <c r="I32" i="68"/>
  <c r="G28" i="68"/>
  <c r="G29" i="68" s="1"/>
  <c r="F10" i="23"/>
  <c r="F45" i="21"/>
  <c r="H25" i="21"/>
  <c r="I180" i="29" s="1"/>
  <c r="I181" i="29" s="1"/>
  <c r="I182" i="29" s="1"/>
  <c r="H135" i="29"/>
  <c r="H136" i="29" s="1"/>
  <c r="H137" i="29" s="1"/>
  <c r="H180" i="29"/>
  <c r="H181" i="29" s="1"/>
  <c r="H182" i="29" s="1"/>
  <c r="J54" i="61"/>
  <c r="H41" i="29"/>
  <c r="H43" i="29" s="1"/>
  <c r="H165" i="29"/>
  <c r="H166" i="29" s="1"/>
  <c r="H167" i="29" s="1"/>
  <c r="G38" i="21"/>
  <c r="G40" i="21" s="1"/>
  <c r="H109" i="29" s="1"/>
  <c r="H150" i="29"/>
  <c r="H151" i="29" s="1"/>
  <c r="H152" i="29" s="1"/>
  <c r="H23" i="68"/>
  <c r="Q44" i="22"/>
  <c r="Q65" i="22"/>
  <c r="H13" i="69" l="1"/>
  <c r="Q46" i="22"/>
  <c r="G14" i="69"/>
  <c r="G15" i="69" s="1"/>
  <c r="H60" i="29"/>
  <c r="I96" i="29"/>
  <c r="I11" i="29"/>
  <c r="G96" i="22"/>
  <c r="H45" i="29"/>
  <c r="H47" i="29" s="1"/>
  <c r="I165" i="29"/>
  <c r="I166" i="29" s="1"/>
  <c r="I167" i="29" s="1"/>
  <c r="H27" i="69"/>
  <c r="H31" i="69" s="1"/>
  <c r="J55" i="61"/>
  <c r="G25" i="69"/>
  <c r="I12" i="68" s="1"/>
  <c r="I13" i="68" s="1"/>
  <c r="H28" i="68"/>
  <c r="H29" i="68" s="1"/>
  <c r="E10" i="23"/>
  <c r="I135" i="29"/>
  <c r="I136" i="29" s="1"/>
  <c r="I137" i="29" s="1"/>
  <c r="I41" i="29"/>
  <c r="I43" i="29" s="1"/>
  <c r="I150" i="29"/>
  <c r="I151" i="29" s="1"/>
  <c r="I152" i="29" s="1"/>
  <c r="H38" i="21"/>
  <c r="H40" i="21" s="1"/>
  <c r="I109" i="29" s="1"/>
  <c r="I23" i="68"/>
  <c r="G45" i="21"/>
  <c r="I28" i="68"/>
  <c r="I29" i="68" s="1"/>
  <c r="Q45" i="22"/>
  <c r="Q66" i="22"/>
  <c r="Q67" i="22" l="1"/>
  <c r="H97" i="22"/>
  <c r="H42" i="21"/>
  <c r="Q68" i="22"/>
  <c r="J56" i="61"/>
  <c r="H12" i="68"/>
  <c r="H13" i="68" s="1"/>
  <c r="G27" i="69"/>
  <c r="G10" i="23"/>
  <c r="H14" i="69" l="1"/>
  <c r="H15" i="69" s="1"/>
  <c r="J96" i="29"/>
  <c r="J11" i="29"/>
  <c r="I60" i="29"/>
  <c r="H96" i="22"/>
  <c r="I45" i="29"/>
  <c r="I47" i="29" s="1"/>
  <c r="C49" i="29" s="1"/>
  <c r="D28" i="62" s="1"/>
  <c r="H45" i="21"/>
  <c r="C11" i="23"/>
  <c r="D11" i="23" l="1"/>
  <c r="F11" i="23" l="1"/>
  <c r="E11" i="23" l="1"/>
  <c r="G11" i="23" l="1"/>
  <c r="C12" i="23" l="1"/>
  <c r="D12" i="23" l="1"/>
  <c r="F12" i="23" l="1"/>
  <c r="E12" i="23" l="1"/>
  <c r="G12" i="23" l="1"/>
  <c r="C13" i="23" l="1"/>
  <c r="D13" i="23" l="1"/>
  <c r="F13" i="23" l="1"/>
  <c r="E13" i="23" l="1"/>
  <c r="G13" i="23" l="1"/>
  <c r="C14" i="23" l="1"/>
  <c r="D14" i="23" l="1"/>
  <c r="F14" i="23" l="1"/>
  <c r="E14" i="23" l="1"/>
  <c r="G14" i="23" l="1"/>
  <c r="C15" i="23" l="1"/>
  <c r="D15" i="23" l="1"/>
  <c r="F15" i="23" l="1"/>
  <c r="E15" i="23" l="1"/>
  <c r="G15" i="23" l="1"/>
  <c r="C16" i="23" l="1"/>
  <c r="D16" i="23" l="1"/>
  <c r="E16" i="23" l="1"/>
  <c r="G16" i="23" l="1"/>
  <c r="C17" i="23" l="1"/>
  <c r="D17" i="23" l="1"/>
  <c r="E17" i="23" l="1"/>
  <c r="G17" i="23" l="1"/>
  <c r="C18" i="23" l="1"/>
  <c r="D18" i="23" l="1"/>
  <c r="E18" i="23" l="1"/>
  <c r="G18" i="23" l="1"/>
  <c r="C19" i="23" l="1"/>
  <c r="D19" i="23" l="1"/>
  <c r="E19" i="23" l="1"/>
  <c r="G19" i="23" l="1"/>
  <c r="C20" i="23" l="1"/>
  <c r="D20" i="23" l="1"/>
  <c r="E20" i="23" l="1"/>
  <c r="G20" i="23" l="1"/>
  <c r="C21" i="23" l="1"/>
  <c r="D21" i="23" l="1"/>
  <c r="E21" i="23" l="1"/>
  <c r="C27" i="68"/>
  <c r="B47" i="21" s="1"/>
  <c r="C113" i="29" l="1"/>
  <c r="B49" i="21"/>
  <c r="C26" i="68"/>
  <c r="G21" i="23"/>
  <c r="C115" i="29" l="1"/>
  <c r="C117" i="29" s="1"/>
  <c r="C22" i="23"/>
  <c r="B28" i="69"/>
  <c r="B31" i="69" s="1"/>
  <c r="J40" i="21"/>
  <c r="J42" i="21" s="1"/>
  <c r="B95" i="22"/>
  <c r="B98" i="22" s="1"/>
  <c r="B99" i="22" s="1"/>
  <c r="B50" i="21" l="1"/>
  <c r="D22" i="23"/>
  <c r="E22" i="23" l="1"/>
  <c r="C30" i="68"/>
  <c r="B51" i="21"/>
  <c r="C33" i="68" l="1"/>
  <c r="C34" i="68" s="1"/>
  <c r="C36" i="68" s="1"/>
  <c r="C80" i="29"/>
  <c r="D95" i="29"/>
  <c r="D98" i="29" s="1"/>
  <c r="D99" i="29" s="1"/>
  <c r="D9" i="29"/>
  <c r="D14" i="29" s="1"/>
  <c r="D15" i="29" s="1"/>
  <c r="B53" i="21"/>
  <c r="C58" i="29"/>
  <c r="C63" i="29" s="1"/>
  <c r="C67" i="29" s="1"/>
  <c r="G22" i="23"/>
  <c r="D35" i="68" l="1"/>
  <c r="B8" i="69"/>
  <c r="B11" i="69" s="1"/>
  <c r="B20" i="69" s="1"/>
  <c r="B37" i="69"/>
  <c r="B39" i="69" s="1"/>
  <c r="C23" i="23"/>
  <c r="B41" i="69" l="1"/>
  <c r="B43" i="69" s="1"/>
  <c r="B46" i="69" s="1"/>
  <c r="C36" i="69"/>
  <c r="D23" i="23"/>
  <c r="E23" i="23" l="1"/>
  <c r="G23" i="23" l="1"/>
  <c r="C24" i="23" l="1"/>
  <c r="D24" i="23" l="1"/>
  <c r="E24" i="23" l="1"/>
  <c r="G24" i="23" l="1"/>
  <c r="C25" i="23" l="1"/>
  <c r="D25" i="23" l="1"/>
  <c r="E25" i="23" l="1"/>
  <c r="G25" i="23" l="1"/>
  <c r="C26" i="23" l="1"/>
  <c r="D26" i="23" l="1"/>
  <c r="E26" i="23" l="1"/>
  <c r="G26" i="23" l="1"/>
  <c r="C27" i="23" l="1"/>
  <c r="D27" i="23" l="1"/>
  <c r="E27" i="23" l="1"/>
  <c r="G27" i="23" l="1"/>
  <c r="C28" i="23" l="1"/>
  <c r="D28" i="23" l="1"/>
  <c r="E28" i="23" l="1"/>
  <c r="G28" i="23" l="1"/>
  <c r="C29" i="23" l="1"/>
  <c r="D29" i="23" l="1"/>
  <c r="E29" i="23" l="1"/>
  <c r="G29" i="23" l="1"/>
  <c r="C30" i="23" l="1"/>
  <c r="D30" i="23" l="1"/>
  <c r="E30" i="23" l="1"/>
  <c r="G30" i="23" l="1"/>
  <c r="C31" i="23" l="1"/>
  <c r="D31" i="23" l="1"/>
  <c r="E31" i="23" l="1"/>
  <c r="G31" i="23" l="1"/>
  <c r="C32" i="23" l="1"/>
  <c r="D32" i="23" l="1"/>
  <c r="E32" i="23" l="1"/>
  <c r="G32" i="23" l="1"/>
  <c r="C33" i="23" l="1"/>
  <c r="D33" i="23" l="1"/>
  <c r="E33" i="23" l="1"/>
  <c r="D27" i="68"/>
  <c r="C47" i="21" s="1"/>
  <c r="D113" i="29" l="1"/>
  <c r="C49" i="21"/>
  <c r="D26" i="68"/>
  <c r="G33" i="23"/>
  <c r="D115" i="29" l="1"/>
  <c r="D117" i="29" s="1"/>
  <c r="C28" i="69"/>
  <c r="C31" i="69" s="1"/>
  <c r="C34" i="23"/>
  <c r="C95" i="22"/>
  <c r="C98" i="22" s="1"/>
  <c r="C99" i="22" s="1"/>
  <c r="C50" i="21" l="1"/>
  <c r="D34" i="23"/>
  <c r="E34" i="23" l="1"/>
  <c r="D30" i="68"/>
  <c r="C51" i="21"/>
  <c r="D33" i="68" l="1"/>
  <c r="D34" i="68" s="1"/>
  <c r="D36" i="68" s="1"/>
  <c r="E95" i="29"/>
  <c r="E98" i="29" s="1"/>
  <c r="E99" i="29" s="1"/>
  <c r="D80" i="29"/>
  <c r="C53" i="21"/>
  <c r="C37" i="69"/>
  <c r="C39" i="69" s="1"/>
  <c r="D58" i="29"/>
  <c r="D63" i="29" s="1"/>
  <c r="D67" i="29" s="1"/>
  <c r="E9" i="29"/>
  <c r="E14" i="29" s="1"/>
  <c r="E15" i="29" s="1"/>
  <c r="G34" i="23"/>
  <c r="E35" i="68" l="1"/>
  <c r="C8" i="69"/>
  <c r="C11" i="69" s="1"/>
  <c r="C20" i="69" s="1"/>
  <c r="C41" i="69"/>
  <c r="C43" i="69" s="1"/>
  <c r="D36" i="69"/>
  <c r="C35" i="23"/>
  <c r="C46" i="69" l="1"/>
  <c r="D35" i="23"/>
  <c r="E35" i="23" l="1"/>
  <c r="G35" i="23" l="1"/>
  <c r="C36" i="23" l="1"/>
  <c r="D36" i="23" l="1"/>
  <c r="E36" i="23" l="1"/>
  <c r="G36" i="23" l="1"/>
  <c r="C37" i="23" l="1"/>
  <c r="D37" i="23" l="1"/>
  <c r="E37" i="23" l="1"/>
  <c r="G37" i="23" l="1"/>
  <c r="C38" i="23" l="1"/>
  <c r="D38" i="23" l="1"/>
  <c r="E38" i="23" l="1"/>
  <c r="G38" i="23" l="1"/>
  <c r="C39" i="23" l="1"/>
  <c r="D39" i="23" l="1"/>
  <c r="E39" i="23" l="1"/>
  <c r="G39" i="23" l="1"/>
  <c r="C40" i="23" l="1"/>
  <c r="D40" i="23" l="1"/>
  <c r="E40" i="23" l="1"/>
  <c r="G40" i="23" l="1"/>
  <c r="C41" i="23" l="1"/>
  <c r="D41" i="23" l="1"/>
  <c r="E41" i="23" l="1"/>
  <c r="G41" i="23" l="1"/>
  <c r="C42" i="23" l="1"/>
  <c r="D42" i="23" l="1"/>
  <c r="E42" i="23" l="1"/>
  <c r="G42" i="23" l="1"/>
  <c r="C43" i="23" l="1"/>
  <c r="D43" i="23" l="1"/>
  <c r="E43" i="23" l="1"/>
  <c r="G43" i="23" l="1"/>
  <c r="C44" i="23" l="1"/>
  <c r="D44" i="23" l="1"/>
  <c r="E44" i="23" l="1"/>
  <c r="G44" i="23" l="1"/>
  <c r="C45" i="23" l="1"/>
  <c r="D45" i="23" l="1"/>
  <c r="E45" i="23" l="1"/>
  <c r="E27" i="68"/>
  <c r="D47" i="21" s="1"/>
  <c r="E26" i="68" l="1"/>
  <c r="G45" i="23"/>
  <c r="D49" i="21"/>
  <c r="E113" i="29"/>
  <c r="E115" i="29" l="1"/>
  <c r="E117" i="29" s="1"/>
  <c r="C119" i="29" s="1"/>
  <c r="D28" i="69"/>
  <c r="D31" i="69" s="1"/>
  <c r="D95" i="22"/>
  <c r="D98" i="22" s="1"/>
  <c r="D99" i="22" s="1"/>
  <c r="K117" i="29" l="1"/>
  <c r="D50" i="21"/>
  <c r="E30" i="68" l="1"/>
  <c r="D51" i="21"/>
  <c r="E33" i="68" l="1"/>
  <c r="E34" i="68" s="1"/>
  <c r="E36" i="68" s="1"/>
  <c r="F9" i="29"/>
  <c r="F14" i="29" s="1"/>
  <c r="F15" i="29" s="1"/>
  <c r="D37" i="69"/>
  <c r="D39" i="69" s="1"/>
  <c r="F95" i="29"/>
  <c r="F98" i="29" s="1"/>
  <c r="F99" i="29" s="1"/>
  <c r="E58" i="29"/>
  <c r="E63" i="29" s="1"/>
  <c r="E67" i="29" s="1"/>
  <c r="D53" i="21"/>
  <c r="E80" i="29"/>
  <c r="D8" i="69" l="1"/>
  <c r="D11" i="69" s="1"/>
  <c r="D20" i="69" s="1"/>
  <c r="F35" i="68"/>
  <c r="E36" i="69"/>
  <c r="D41" i="69"/>
  <c r="D43" i="69" s="1"/>
  <c r="D46" i="69" s="1"/>
  <c r="F27" i="68" l="1"/>
  <c r="E47" i="21" s="1"/>
  <c r="F113" i="29" l="1"/>
  <c r="E49" i="21"/>
  <c r="F26" i="68"/>
  <c r="F115" i="29" l="1"/>
  <c r="F117" i="29" s="1"/>
  <c r="E28" i="69"/>
  <c r="E31" i="69" s="1"/>
  <c r="E95" i="22"/>
  <c r="E98" i="22" s="1"/>
  <c r="E99" i="22" s="1"/>
  <c r="E50" i="21" l="1"/>
  <c r="F30" i="68" l="1"/>
  <c r="E51" i="21"/>
  <c r="F33" i="68" l="1"/>
  <c r="F34" i="68" s="1"/>
  <c r="F36" i="68" s="1"/>
  <c r="G95" i="29"/>
  <c r="G98" i="29" s="1"/>
  <c r="G99" i="29" s="1"/>
  <c r="F58" i="29"/>
  <c r="F63" i="29" s="1"/>
  <c r="F67" i="29" s="1"/>
  <c r="G9" i="29"/>
  <c r="G14" i="29" s="1"/>
  <c r="G15" i="29" s="1"/>
  <c r="E37" i="69"/>
  <c r="E39" i="69" s="1"/>
  <c r="E53" i="21"/>
  <c r="F80" i="29"/>
  <c r="G35" i="68" l="1"/>
  <c r="E8" i="69"/>
  <c r="E11" i="69" s="1"/>
  <c r="E20" i="69" s="1"/>
  <c r="F36" i="69"/>
  <c r="E41" i="69"/>
  <c r="E43" i="69" s="1"/>
  <c r="E46" i="69" s="1"/>
  <c r="G27" i="68" l="1"/>
  <c r="F47" i="21" s="1"/>
  <c r="F49" i="21" l="1"/>
  <c r="G113" i="29"/>
  <c r="G26" i="68"/>
  <c r="G115" i="29" l="1"/>
  <c r="G117" i="29" s="1"/>
  <c r="F28" i="69"/>
  <c r="F31" i="69" s="1"/>
  <c r="F95" i="22"/>
  <c r="F98" i="22" s="1"/>
  <c r="F99" i="22" s="1"/>
  <c r="F50" i="21" l="1"/>
  <c r="G30" i="68" l="1"/>
  <c r="F51" i="21"/>
  <c r="G33" i="68" l="1"/>
  <c r="G34" i="68" s="1"/>
  <c r="G36" i="68" s="1"/>
  <c r="G80" i="29"/>
  <c r="F37" i="69"/>
  <c r="F39" i="69" s="1"/>
  <c r="H95" i="29"/>
  <c r="H98" i="29" s="1"/>
  <c r="F53" i="21"/>
  <c r="G58" i="29"/>
  <c r="G63" i="29" s="1"/>
  <c r="G67" i="29" s="1"/>
  <c r="H9" i="29"/>
  <c r="H14" i="29" s="1"/>
  <c r="H15" i="29" s="1"/>
  <c r="H35" i="68" l="1"/>
  <c r="F8" i="69"/>
  <c r="F11" i="69" s="1"/>
  <c r="F20" i="69" s="1"/>
  <c r="H99" i="29"/>
  <c r="D101" i="29"/>
  <c r="D32" i="62" s="1"/>
  <c r="F41" i="69"/>
  <c r="F43" i="69" s="1"/>
  <c r="G36" i="69"/>
  <c r="F46" i="69" l="1"/>
  <c r="H27" i="68" l="1"/>
  <c r="G47" i="21" s="1"/>
  <c r="H113" i="29" l="1"/>
  <c r="G49" i="21"/>
  <c r="H26" i="68"/>
  <c r="H115" i="29" s="1"/>
  <c r="G95" i="22" l="1"/>
  <c r="G98" i="22" s="1"/>
  <c r="G99" i="22" s="1"/>
  <c r="G50" i="21" s="1"/>
  <c r="H117" i="29"/>
  <c r="G28" i="69"/>
  <c r="G31" i="69" s="1"/>
  <c r="H30" i="68"/>
  <c r="G51" i="21"/>
  <c r="H33" i="68" l="1"/>
  <c r="H34" i="68" s="1"/>
  <c r="H36" i="68" s="1"/>
  <c r="G37" i="69"/>
  <c r="G39" i="69" s="1"/>
  <c r="I95" i="29"/>
  <c r="I98" i="29" s="1"/>
  <c r="H80" i="29"/>
  <c r="I9" i="29"/>
  <c r="I14" i="29" s="1"/>
  <c r="H58" i="29"/>
  <c r="H63" i="29" s="1"/>
  <c r="H67" i="29" s="1"/>
  <c r="G53" i="21"/>
  <c r="G8" i="69" l="1"/>
  <c r="G11" i="69" s="1"/>
  <c r="G20" i="69" s="1"/>
  <c r="I35" i="68"/>
  <c r="I15" i="29"/>
  <c r="H36" i="69"/>
  <c r="G41" i="69"/>
  <c r="G43" i="69" s="1"/>
  <c r="G46" i="69" l="1"/>
  <c r="I27" i="68" l="1"/>
  <c r="H47" i="21" s="1"/>
  <c r="D94" i="23"/>
  <c r="E94" i="23" l="1"/>
  <c r="I26" i="68"/>
  <c r="I115" i="29" s="1"/>
  <c r="I113" i="29"/>
  <c r="H49" i="21"/>
  <c r="H95" i="22" l="1"/>
  <c r="H98" i="22" s="1"/>
  <c r="H99" i="22" s="1"/>
  <c r="H50" i="21" s="1"/>
  <c r="I117" i="29"/>
  <c r="D33" i="62" s="1"/>
  <c r="I30" i="68"/>
  <c r="H51" i="21"/>
  <c r="I33" i="68" l="1"/>
  <c r="I34" i="68" s="1"/>
  <c r="I36" i="68" s="1"/>
  <c r="J95" i="29"/>
  <c r="J98" i="29" s="1"/>
  <c r="H37" i="69"/>
  <c r="H39" i="69" s="1"/>
  <c r="H41" i="69" s="1"/>
  <c r="H43" i="69" s="1"/>
  <c r="J9" i="29"/>
  <c r="J14" i="29" s="1"/>
  <c r="J15" i="29" s="1"/>
  <c r="C16" i="29" s="1"/>
  <c r="I80" i="29"/>
  <c r="C82" i="29" s="1"/>
  <c r="C85" i="29" s="1"/>
  <c r="D29" i="62" s="1"/>
  <c r="I58" i="29"/>
  <c r="I63" i="29" s="1"/>
  <c r="I67" i="29" s="1"/>
  <c r="C69" i="29" s="1"/>
  <c r="C73" i="29" s="1"/>
  <c r="D31" i="62" s="1"/>
  <c r="H53" i="21"/>
  <c r="H8" i="69" l="1"/>
  <c r="H11" i="69" s="1"/>
  <c r="H20" i="69" s="1"/>
  <c r="H46" i="69" s="1"/>
  <c r="D30" i="62"/>
  <c r="D18" i="29"/>
  <c r="E18" i="29" l="1"/>
  <c r="D19" i="29"/>
  <c r="F18" i="29" l="1"/>
  <c r="E19"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<sst xmlns="http://schemas.openxmlformats.org/spreadsheetml/2006/main" count="1479" uniqueCount="727">
  <si>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</si>
  <si>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</si>
  <si>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</si>
  <si>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</si>
  <si>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</si>
  <si>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</si>
  <si>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</si>
  <si>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</si>
  <si>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</si>
  <si>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</si>
  <si>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</si>
  <si>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</si>
  <si>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</si>
  <si>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</si>
  <si>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</si>
  <si>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</si>
  <si>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</si>
  <si>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</si>
  <si>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</si>
  <si>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</si>
  <si>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</si>
  <si>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</si>
  <si>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</si>
  <si>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</si>
  <si>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</si>
  <si>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</si>
  <si>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</si>
  <si>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</si>
  <si>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</si>
  <si>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</si>
  <si>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</si>
  <si>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</si>
  <si>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</si>
  <si>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</si>
  <si>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</si>
  <si>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</si>
  <si>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</si>
  <si>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</si>
  <si>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</si>
  <si>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</si>
  <si>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</si>
  <si>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</si>
  <si>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</si>
  <si>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</si>
  <si>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</si>
  <si>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</si>
  <si>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</si>
  <si>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</si>
  <si>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</si>
  <si>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</si>
  <si>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</si>
  <si>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</si>
  <si>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</si>
  <si>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</si>
  <si>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</si>
  <si>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</si>
  <si>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</si>
  <si>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</si>
  <si>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</si>
  <si>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</si>
  <si>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</si>
  <si>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</si>
  <si>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</si>
  <si>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</si>
  <si>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</si>
  <si>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</si>
  <si>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</si>
  <si>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</si>
  <si>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</si>
  <si>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</si>
  <si>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</si>
  <si>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</si>
  <si>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</si>
  <si>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</si>
  <si>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</si>
  <si>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</si>
  <si>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</si>
  <si>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</si>
  <si>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</si>
  <si>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</si>
  <si>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</si>
  <si>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</si>
  <si>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</si>
  <si>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</si>
  <si>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</si>
  <si>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</si>
  <si>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</si>
  <si>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</si>
  <si>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</si>
  <si>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</si>
  <si>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</si>
  <si>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</si>
  <si>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</si>
  <si>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</si>
  <si>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</si>
  <si>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</si>
  <si>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</si>
  <si>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</si>
  <si>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</si>
  <si>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</si>
  <si>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</si>
  <si>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</si>
  <si>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</si>
  <si>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</si>
  <si>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</si>
  <si>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</si>
  <si>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</si>
  <si>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</si>
  <si>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</si>
  <si>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</si>
  <si>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</si>
  <si>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</si>
  <si>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</si>
  <si>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</si>
  <si>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</si>
  <si>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</si>
  <si>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</si>
  <si>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</si>
  <si>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</si>
  <si>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</si>
  <si>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</si>
  <si>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</si>
  <si>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</si>
  <si>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</si>
  <si>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</si>
  <si>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</si>
  <si>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</si>
  <si>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</si>
  <si>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</si>
  <si>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</si>
  <si>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</si>
  <si>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</si>
  <si>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</si>
  <si>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</si>
  <si>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</si>
  <si>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</si>
  <si>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</si>
  <si>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</si>
  <si>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</si>
  <si>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</si>
  <si>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</si>
  <si>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</si>
  <si>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</si>
  <si>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</si>
  <si>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</si>
  <si>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</si>
  <si>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</si>
  <si>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</si>
  <si>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</si>
  <si>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</si>
  <si>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</si>
  <si>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</si>
  <si>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</si>
  <si>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</si>
  <si>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</si>
  <si>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</si>
  <si>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</si>
  <si>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</si>
  <si>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</si>
  <si>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</si>
  <si>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</si>
  <si>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</si>
  <si>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</si>
  <si>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</si>
  <si>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</si>
  <si>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</si>
  <si>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</si>
  <si>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</si>
  <si>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</si>
  <si>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</si>
  <si>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</si>
  <si>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</si>
  <si>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</si>
  <si>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</si>
  <si>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</si>
  <si>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</si>
  <si>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</si>
  <si>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</si>
  <si>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</si>
  <si>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</si>
  <si>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</si>
  <si>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</si>
  <si>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</si>
  <si>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</si>
  <si>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</si>
  <si>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</si>
  <si>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</si>
  <si>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</si>
  <si>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</si>
  <si>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</si>
  <si>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</si>
  <si>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</si>
  <si>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</si>
  <si>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</si>
  <si>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</si>
  <si>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</si>
  <si>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</si>
  <si>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</si>
  <si>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</si>
  <si>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</si>
  <si>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</si>
  <si>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</si>
  <si>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</si>
  <si>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</si>
  <si>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</si>
  <si>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</si>
  <si>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</si>
  <si>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</si>
  <si>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</si>
  <si>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</si>
  <si>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</si>
  <si>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</si>
  <si>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</si>
  <si>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</si>
  <si>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</si>
  <si>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</si>
  <si>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</si>
  <si>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</si>
  <si>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</si>
  <si>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</si>
  <si>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</si>
  <si>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</si>
  <si>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</si>
  <si>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</si>
  <si>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</si>
  <si>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</si>
  <si>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</si>
  <si>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</si>
  <si>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</si>
  <si>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</si>
  <si>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</si>
  <si>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</si>
  <si>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</si>
  <si>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</si>
  <si>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</si>
  <si>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</si>
  <si>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</si>
  <si>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</si>
  <si>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</si>
  <si>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</si>
  <si>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</si>
  <si>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</si>
  <si>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</si>
  <si>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</si>
  <si>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</si>
  <si>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</si>
  <si>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</si>
  <si>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</si>
  <si>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</si>
  <si>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</si>
  <si>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</si>
  <si>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</si>
  <si>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</si>
  <si>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</si>
  <si>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</si>
  <si>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</si>
  <si>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</si>
  <si>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</si>
  <si>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</si>
  <si>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</si>
  <si>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</si>
  <si>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</si>
  <si>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</si>
  <si>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</si>
  <si>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</si>
  <si>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</si>
  <si>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</si>
  <si>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</si>
  <si>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</si>
  <si>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</si>
  <si>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</si>
  <si>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</si>
  <si>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</si>
  <si>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</si>
  <si>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</si>
  <si>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</si>
  <si>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</si>
  <si>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</si>
  <si>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</si>
  <si>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</si>
  <si>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</si>
  <si>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</si>
  <si>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</si>
  <si>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</si>
  <si>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</si>
  <si>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</si>
  <si>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</si>
  <si>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</si>
  <si>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</si>
  <si>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</si>
  <si>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</si>
  <si>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</si>
  <si>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</si>
  <si>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</si>
  <si>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</si>
  <si>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</si>
  <si>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</si>
  <si>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</si>
  <si>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</si>
  <si>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</si>
  <si>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</si>
  <si>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</si>
  <si>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</si>
  <si>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</si>
  <si>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</si>
  <si>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</si>
  <si>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</si>
  <si>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</si>
  <si>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</si>
  <si>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</si>
  <si>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</si>
  <si>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</si>
  <si>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</si>
  <si>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</si>
  <si>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</si>
  <si>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</si>
  <si>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</si>
  <si>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</si>
  <si>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</si>
  <si>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</si>
  <si>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</si>
  <si>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</si>
  <si>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</si>
  <si>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</si>
  <si>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</si>
  <si>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</si>
  <si>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</si>
  <si>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</si>
  <si>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</si>
  <si>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</si>
  <si>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</si>
  <si>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</si>
  <si>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</si>
  <si>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</si>
  <si>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</si>
  <si>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</si>
  <si>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</si>
  <si>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</si>
  <si>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</si>
  <si>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</si>
  <si>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</si>
  <si>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</si>
  <si>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</si>
  <si>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</si>
  <si>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</si>
  <si>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</si>
  <si>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</si>
  <si>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</si>
  <si>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</si>
  <si>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</si>
  <si>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</si>
  <si>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</si>
  <si>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</si>
  <si>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</si>
  <si>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</si>
  <si>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</si>
  <si>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</si>
  <si>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</si>
  <si>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</si>
  <si>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</si>
  <si>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</si>
  <si>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</si>
  <si>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</si>
  <si>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</si>
  <si>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</si>
  <si>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</si>
  <si>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</si>
  <si>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</si>
  <si>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</si>
  <si>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</si>
  <si>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</si>
  <si>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</si>
  <si>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</si>
  <si>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</si>
  <si>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</si>
  <si>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</si>
  <si>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</si>
  <si>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</si>
  <si>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</si>
  <si>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</si>
  <si>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</si>
  <si>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</si>
  <si>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</si>
  <si>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</si>
  <si>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</si>
  <si>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</si>
  <si>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</si>
  <si>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</si>
  <si>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</si>
  <si>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</si>
  <si>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</si>
  <si>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</si>
  <si>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</si>
  <si>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</si>
  <si>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</si>
  <si>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</si>
  <si>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</si>
  <si>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</si>
  <si>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</si>
  <si>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</si>
  <si>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</si>
  <si>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</si>
  <si>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</si>
  <si>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</si>
  <si>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</si>
  <si>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</si>
  <si>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</si>
  <si>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</si>
  <si>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</si>
  <si>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</si>
  <si>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</si>
  <si>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</si>
  <si>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</si>
  <si>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</si>
  <si>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</si>
  <si>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</si>
  <si>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</si>
  <si>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</si>
  <si>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</si>
  <si>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</si>
  <si>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</si>
  <si>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</si>
  <si>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</si>
  <si>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</si>
  <si>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</si>
  <si>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</si>
  <si>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</si>
  <si>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</si>
  <si>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</si>
  <si>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</si>
  <si>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</si>
  <si>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</si>
  <si>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</si>
  <si>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</si>
  <si>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</si>
  <si>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</si>
  <si>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</si>
  <si>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</si>
  <si>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</si>
  <si>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</si>
  <si>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</si>
  <si>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</si>
  <si>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</si>
  <si>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</si>
  <si>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</si>
  <si>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</si>
  <si>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</si>
  <si>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</si>
  <si>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</si>
  <si>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</si>
  <si>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</si>
  <si>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</si>
  <si>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</si>
  <si>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Pomegranate</t>
  </si>
  <si>
    <t>Custard Apple</t>
  </si>
  <si>
    <t>Guava</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</si>
  <si>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</si>
  <si>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</si>
  <si>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</si>
  <si>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</si>
  <si>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</si>
  <si>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</si>
  <si>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</si>
  <si>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</si>
  <si>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</si>
  <si>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</si>
  <si>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Total Cultivated Land under grain Crop(Acres)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</si>
  <si>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</si>
  <si>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</si>
  <si>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</si>
  <si>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</si>
  <si>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</si>
  <si>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</si>
  <si>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</si>
  <si>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</si>
  <si>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</si>
  <si>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</si>
  <si>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</si>
  <si>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</si>
  <si>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</si>
  <si>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</si>
  <si>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</si>
  <si>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</si>
  <si>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</si>
  <si>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</si>
  <si>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Quiantals</t>
  </si>
  <si>
    <t>Other Consumbales</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</si>
  <si>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</si>
  <si>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</si>
  <si>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</si>
  <si>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</si>
  <si>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</si>
  <si>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</si>
  <si>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</si>
  <si>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</si>
  <si>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</si>
  <si>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</si>
  <si>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</si>
  <si>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</si>
  <si>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</si>
  <si>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</si>
  <si>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</si>
  <si>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</si>
  <si>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</si>
  <si>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</si>
  <si>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</si>
  <si>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</si>
  <si>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</si>
  <si>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</si>
  <si>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</si>
  <si>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</si>
  <si>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</si>
  <si>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</si>
  <si>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</si>
  <si>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</si>
  <si>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</si>
  <si>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</si>
  <si>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</si>
  <si>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</si>
  <si>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</si>
  <si>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</si>
  <si>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</si>
  <si>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</si>
  <si>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</si>
  <si>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</si>
  <si>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</si>
  <si>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</si>
  <si>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</si>
  <si>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</si>
  <si>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</si>
  <si>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</si>
  <si>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</si>
  <si>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</si>
  <si>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</si>
  <si>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</si>
  <si>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</si>
  <si>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</si>
  <si>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</si>
  <si>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</si>
  <si>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</si>
  <si>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</si>
  <si>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</si>
  <si>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</si>
  <si>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</si>
  <si>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</si>
  <si>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</si>
  <si>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</si>
  <si>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</si>
  <si>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</si>
  <si>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</si>
  <si>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</si>
  <si>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</si>
  <si>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</si>
  <si>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</si>
  <si>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</si>
  <si>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</si>
  <si>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</si>
  <si>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</si>
  <si>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</si>
  <si>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</si>
  <si>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</si>
  <si>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</si>
  <si>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</si>
  <si>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</si>
  <si>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</si>
  <si>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</si>
  <si>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</si>
  <si>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</si>
  <si>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</si>
  <si>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</si>
  <si>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</si>
  <si>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</si>
  <si>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</si>
  <si>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</si>
  <si>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</si>
  <si>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</si>
  <si>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</si>
  <si>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</si>
  <si>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</si>
  <si>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</si>
  <si>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</si>
  <si>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</si>
  <si>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</si>
  <si>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</si>
  <si>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</si>
  <si>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</si>
  <si>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</si>
  <si>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</si>
  <si>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</si>
  <si>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</si>
  <si>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</si>
  <si>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</si>
  <si>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</si>
  <si>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</si>
  <si>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</si>
  <si>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</si>
  <si>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</si>
  <si>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</si>
  <si>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</si>
  <si>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</si>
  <si>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</si>
  <si>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</si>
  <si>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</si>
  <si>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</si>
  <si>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</si>
  <si>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</si>
  <si>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</si>
  <si>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</si>
  <si>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</si>
  <si>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</si>
  <si>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</si>
  <si>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</si>
  <si>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</si>
  <si>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</si>
  <si>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</si>
  <si>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</si>
  <si>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</si>
  <si>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</si>
  <si>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</si>
  <si>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</si>
  <si>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</si>
  <si>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</si>
  <si>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</si>
  <si>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</si>
  <si>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</si>
  <si>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</si>
  <si>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</si>
  <si>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</si>
  <si>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</si>
  <si>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</si>
  <si>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</si>
  <si>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</si>
  <si>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</si>
  <si>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</si>
  <si>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</si>
  <si>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</si>
  <si>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</si>
  <si>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</si>
  <si>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</si>
  <si>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</si>
  <si>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</si>
  <si>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</si>
  <si>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</si>
  <si>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</si>
  <si>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</si>
  <si>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</si>
  <si>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</si>
  <si>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Male</t>
  </si>
  <si>
    <t>Female</t>
  </si>
  <si>
    <t>Gunny Bags</t>
  </si>
  <si>
    <t>Total Quintle</t>
  </si>
  <si>
    <t>In Kg</t>
  </si>
  <si>
    <t>1 Gunny Bag for 50 kg</t>
  </si>
  <si>
    <t>Gunny Bags Required</t>
  </si>
  <si>
    <t>Cost Per Gunny Bag</t>
  </si>
  <si>
    <t>Tranportation cost Rs 20 for100 Kg</t>
  </si>
  <si>
    <t>Total Transportation Cost</t>
  </si>
  <si>
    <t>Civil Work</t>
  </si>
  <si>
    <t>Cold Storage Unit</t>
  </si>
  <si>
    <t>Fruit &amp; Vegetable Washer</t>
  </si>
  <si>
    <t>Inspection Conveyor 10 Mtrs Lg</t>
  </si>
  <si>
    <t>Bucket Elevator</t>
  </si>
  <si>
    <t>SS Bifurcation Conveyor</t>
  </si>
  <si>
    <t>Hot Break System</t>
  </si>
  <si>
    <t>Pulping Unit</t>
  </si>
  <si>
    <t>Collection Tank 500 ltrs</t>
  </si>
  <si>
    <t>Screw Pump</t>
  </si>
  <si>
    <t>Mixing Kettles (500 ltrs)</t>
  </si>
  <si>
    <t>Pasteurizer System</t>
  </si>
  <si>
    <t>Kettle (Tilting Type)</t>
  </si>
  <si>
    <t xml:space="preserve">Inspection Table </t>
  </si>
  <si>
    <t>SS Collection Tank</t>
  </si>
  <si>
    <t>Custard Apple Extractor</t>
  </si>
  <si>
    <t>Custard Apple Extractor Conv Type</t>
  </si>
  <si>
    <t>Insulated Storage Tank (500 Ltrs)</t>
  </si>
  <si>
    <t>Empty Can Washer / Sterilizer</t>
  </si>
  <si>
    <t>Rotary Can Filler</t>
  </si>
  <si>
    <t>Discharge Conveyor</t>
  </si>
  <si>
    <t>Exhaust Box</t>
  </si>
  <si>
    <t>Vertical Retort</t>
  </si>
  <si>
    <t>Perforated Crates</t>
  </si>
  <si>
    <t>MS Trolley for Crates</t>
  </si>
  <si>
    <t>Electric Hoist</t>
  </si>
  <si>
    <t>Seamer / Reforming Section</t>
  </si>
  <si>
    <t>Inspection Tables</t>
  </si>
  <si>
    <t>Filter Press</t>
  </si>
  <si>
    <t>Ink Jet Printer</t>
  </si>
  <si>
    <t>SS Product Piping &amp; Fittings</t>
  </si>
  <si>
    <t>Electricals</t>
  </si>
  <si>
    <t>Compressor Piping and Fittings</t>
  </si>
  <si>
    <t>Steam Boiler 1000 Kgs/Hr</t>
  </si>
  <si>
    <t>Steam Piping &amp; Fittings</t>
  </si>
  <si>
    <t>Water Piping &amp; Fittings</t>
  </si>
  <si>
    <t>Tools and Tackles</t>
  </si>
  <si>
    <t>CIP Systems</t>
  </si>
  <si>
    <t>Laboratory Equipment</t>
  </si>
  <si>
    <t>Generator 100 KVA</t>
  </si>
  <si>
    <t>Waste Handling Conveyors</t>
  </si>
  <si>
    <t>SS Operating Platform</t>
  </si>
  <si>
    <t>Cooling Tower Systems</t>
  </si>
  <si>
    <t>Erection and Commisioning Charges</t>
  </si>
  <si>
    <t>Packing Charges</t>
  </si>
  <si>
    <t>GST Charges</t>
  </si>
  <si>
    <t>Stamp Duty</t>
  </si>
  <si>
    <t>DPR Charges</t>
  </si>
  <si>
    <t>Land Development</t>
  </si>
  <si>
    <t>A Grade (Good Quality) - 60%</t>
  </si>
  <si>
    <t>B Grade (Medium Quality) - 30%</t>
  </si>
  <si>
    <t>C Grade (Bad Quality) - 10%</t>
  </si>
  <si>
    <t>Mango</t>
  </si>
  <si>
    <t>Bags</t>
  </si>
  <si>
    <t>1 Bag for 1 kg</t>
  </si>
  <si>
    <t>.Bags Required</t>
  </si>
  <si>
    <t>Mango (80%)</t>
  </si>
  <si>
    <t xml:space="preserve">Mango </t>
  </si>
  <si>
    <t>Custard Apple (80%)</t>
  </si>
  <si>
    <t>Guava (100%)</t>
  </si>
  <si>
    <t xml:space="preserve">Output </t>
  </si>
  <si>
    <t>Supply, Installation of 17ft Long Insulated Truck body</t>
  </si>
  <si>
    <t>Refrigeration Unit</t>
  </si>
  <si>
    <t>Bank Finance - Long Term Loan (= Total Project Cost- Smart Grant - Own Contribution)</t>
  </si>
  <si>
    <t>Increase in account Receivable</t>
  </si>
  <si>
    <t>Increase in Closing Stock</t>
  </si>
  <si>
    <t>Increase in account payable</t>
  </si>
  <si>
    <t xml:space="preserve">Own Contribution (=Fixed Assets*10%)+Working Capital ) </t>
  </si>
  <si>
    <t>Cold room panel and installation</t>
  </si>
  <si>
    <t>Facility 1 - Food Processing Unit</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</si>
</sst>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3" formatCode="_ * #,##0.00_ ;_ * \-#,##0.00_ ;_ * &quot;-&quot;??_ ;_ @_ "/>
    <numFmt numFmtId="164" formatCode="_(* #,##0.00_);_(* \(#,##0.00\);_(* &quot;-&quot;??_);_(@_)"/>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s>
  <fonts count="69">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
      <b/>
      <u/>
      <sz val="11"/>
      <color theme="1"/>
      <name val="Calibri"/>
      <family val="2"/>
      <scheme val="minor"/>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43" fontId="18" fillId="0" borderId="0" applyFont="0" applyFill="0" applyBorder="0" applyAlignment="0" applyProtection="0"/>
  </cellStyleXfs>
  <cellXfs count="494">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169" fontId="0" fillId="0" borderId="1" xfId="2" applyNumberFormat="1" applyFont="1" applyBorder="1"/>
    <xf numFmtId="0" fontId="2" fillId="0" borderId="0" xfId="0" applyFont="1" applyFill="1"/>
    <xf numFmtId="0" fontId="14" fillId="0" borderId="0" xfId="0" applyFont="1" applyFill="1" applyBorder="1"/>
    <xf numFmtId="43" fontId="0" fillId="0" borderId="0" xfId="0" applyNumberFormat="1"/>
    <xf numFmtId="0" fontId="2" fillId="0" borderId="0" xfId="0" applyFont="1" applyAlignment="1">
      <alignment horizontal="center"/>
    </xf>
    <xf numFmtId="0" fontId="2" fillId="0" borderId="0" xfId="0" applyFont="1" applyAlignment="1">
      <alignment horizontal="center"/>
    </xf>
    <xf numFmtId="167"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69" fontId="4" fillId="0" borderId="1" xfId="3" applyNumberFormat="1" applyFont="1" applyFill="1" applyBorder="1" applyAlignment="1">
      <alignment wrapText="1"/>
    </xf>
    <xf numFmtId="0" fontId="4" fillId="0" borderId="1" xfId="0" applyFont="1" applyFill="1" applyBorder="1" applyAlignment="1">
      <alignment horizontal="left" wrapText="1"/>
    </xf>
    <xf numFmtId="169"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7"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Fill="1" applyBorder="1" applyAlignment="1">
      <alignment wrapText="1"/>
    </xf>
    <xf numFmtId="169"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69" fontId="0" fillId="0" borderId="15" xfId="2" applyNumberFormat="1" applyFont="1" applyBorder="1"/>
    <xf numFmtId="2" fontId="2" fillId="0" borderId="0" xfId="0" applyNumberFormat="1" applyFont="1"/>
    <xf numFmtId="0" fontId="17" fillId="0" borderId="0" xfId="0" applyFont="1"/>
    <xf numFmtId="167" fontId="14" fillId="0" borderId="0" xfId="0" applyNumberFormat="1" applyFont="1"/>
    <xf numFmtId="169"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Fill="1" applyBorder="1"/>
    <xf numFmtId="43" fontId="4" fillId="0" borderId="1" xfId="10" applyFont="1" applyFill="1" applyBorder="1"/>
    <xf numFmtId="171" fontId="4" fillId="0" borderId="1" xfId="10" applyNumberFormat="1" applyFont="1" applyFill="1" applyBorder="1"/>
    <xf numFmtId="0" fontId="6" fillId="0" borderId="1" xfId="0" applyFont="1" applyFill="1" applyBorder="1"/>
    <xf numFmtId="164" fontId="6" fillId="0" borderId="1" xfId="10" applyNumberFormat="1" applyFont="1" applyFill="1" applyBorder="1"/>
    <xf numFmtId="0" fontId="4" fillId="0" borderId="0" xfId="0" applyFont="1" applyFill="1"/>
    <xf numFmtId="171"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69" fontId="0" fillId="0" borderId="1" xfId="2" applyNumberFormat="1" applyFont="1" applyBorder="1" applyAlignment="1"/>
    <xf numFmtId="2" fontId="2" fillId="0" borderId="1" xfId="0" applyNumberFormat="1" applyFont="1" applyBorder="1" applyAlignment="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169" fontId="28" fillId="0" borderId="1" xfId="0" applyNumberFormat="1" applyFont="1" applyBorder="1"/>
    <xf numFmtId="0" fontId="27" fillId="0" borderId="1" xfId="0" applyFont="1" applyFill="1" applyBorder="1"/>
    <xf numFmtId="169"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69"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164"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173"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7" fontId="29" fillId="0" borderId="1" xfId="0" applyNumberFormat="1" applyFont="1" applyFill="1" applyBorder="1"/>
    <xf numFmtId="167"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7"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43" fontId="27" fillId="0" borderId="0" xfId="0" applyNumberFormat="1" applyFont="1" applyBorder="1"/>
    <xf numFmtId="1" fontId="27" fillId="0" borderId="0" xfId="0" applyNumberFormat="1" applyFont="1" applyBorder="1"/>
    <xf numFmtId="9" fontId="27" fillId="0" borderId="1" xfId="0" applyNumberFormat="1" applyFont="1" applyBorder="1"/>
    <xf numFmtId="43"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7" fontId="27" fillId="0" borderId="1" xfId="3" applyNumberFormat="1" applyFont="1" applyFill="1" applyBorder="1"/>
    <xf numFmtId="167" fontId="27" fillId="0" borderId="1" xfId="0" applyNumberFormat="1" applyFont="1" applyFill="1" applyBorder="1"/>
    <xf numFmtId="167" fontId="27" fillId="0" borderId="0" xfId="0" applyNumberFormat="1" applyFont="1"/>
    <xf numFmtId="169" fontId="27" fillId="0" borderId="16" xfId="2" applyNumberFormat="1" applyFont="1" applyBorder="1"/>
    <xf numFmtId="169" fontId="28" fillId="0" borderId="1" xfId="2" applyNumberFormat="1" applyFont="1" applyBorder="1" applyAlignment="1">
      <alignment wrapText="1"/>
    </xf>
    <xf numFmtId="0" fontId="26" fillId="0" borderId="0" xfId="0" applyFont="1" applyAlignment="1"/>
    <xf numFmtId="165"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69"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169" fontId="29" fillId="6" borderId="1" xfId="2" applyNumberFormat="1" applyFont="1" applyFill="1" applyBorder="1" applyAlignment="1">
      <alignment horizontal="left" vertical="center" wrapText="1"/>
    </xf>
    <xf numFmtId="169" fontId="29" fillId="6" borderId="1" xfId="2" applyNumberFormat="1" applyFont="1" applyFill="1" applyBorder="1" applyAlignment="1">
      <alignment vertical="center" wrapText="1"/>
    </xf>
    <xf numFmtId="169" fontId="29" fillId="6" borderId="1" xfId="2" applyNumberFormat="1" applyFont="1" applyFill="1" applyBorder="1" applyAlignment="1">
      <alignment horizontal="right" vertical="center" wrapText="1"/>
    </xf>
    <xf numFmtId="0" fontId="27" fillId="6" borderId="1" xfId="0" applyFont="1" applyFill="1" applyBorder="1"/>
    <xf numFmtId="167"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69" fontId="42" fillId="6" borderId="1" xfId="2" applyNumberFormat="1" applyFont="1" applyFill="1" applyBorder="1" applyAlignment="1">
      <alignment horizontal="right" vertical="center" wrapText="1"/>
    </xf>
    <xf numFmtId="0" fontId="28" fillId="6" borderId="1" xfId="0" applyFont="1" applyFill="1" applyBorder="1"/>
    <xf numFmtId="167"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7" fontId="12" fillId="6" borderId="1" xfId="3" applyNumberFormat="1" applyFont="1" applyFill="1" applyBorder="1" applyAlignment="1">
      <alignment horizontal="center" vertical="center" wrapText="1"/>
    </xf>
    <xf numFmtId="167" fontId="12" fillId="6" borderId="1" xfId="3" applyNumberFormat="1" applyFont="1" applyFill="1" applyBorder="1" applyAlignment="1">
      <alignment horizontal="right" vertical="center" wrapText="1"/>
    </xf>
    <xf numFmtId="167" fontId="41" fillId="6" borderId="1" xfId="3" applyNumberFormat="1" applyFont="1" applyFill="1" applyBorder="1" applyAlignment="1">
      <alignment horizontal="center" vertical="center" wrapText="1"/>
    </xf>
    <xf numFmtId="167" fontId="41" fillId="6" borderId="10" xfId="3" applyNumberFormat="1" applyFont="1" applyFill="1" applyBorder="1" applyAlignment="1">
      <alignment horizontal="right" vertical="center" wrapText="1"/>
    </xf>
    <xf numFmtId="167"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4" fontId="27" fillId="0" borderId="0" xfId="0" applyNumberFormat="1" applyFont="1"/>
    <xf numFmtId="169"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7"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7" fontId="27" fillId="0" borderId="1" xfId="1" applyNumberFormat="1" applyFont="1" applyBorder="1"/>
    <xf numFmtId="43"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0" fontId="0" fillId="0" borderId="0" xfId="0" applyNumberFormat="1"/>
    <xf numFmtId="0" fontId="0" fillId="0" borderId="1" xfId="0" applyNumberFormat="1" applyBorder="1"/>
    <xf numFmtId="0" fontId="0" fillId="0" borderId="0" xfId="0" applyAlignment="1">
      <alignment horizontal="center"/>
    </xf>
    <xf numFmtId="169"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69" fontId="2" fillId="0" borderId="0" xfId="2" applyNumberFormat="1" applyFont="1" applyFill="1" applyBorder="1"/>
    <xf numFmtId="1"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0" fontId="58" fillId="7" borderId="1" xfId="0" applyNumberFormat="1" applyFont="1" applyFill="1" applyBorder="1"/>
    <xf numFmtId="0" fontId="57" fillId="0" borderId="0" xfId="0" applyFont="1" applyAlignment="1"/>
    <xf numFmtId="171"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69" fontId="44" fillId="0" borderId="1" xfId="2" applyNumberFormat="1" applyFont="1" applyBorder="1" applyAlignment="1">
      <alignment vertical="center" wrapText="1"/>
    </xf>
    <xf numFmtId="9" fontId="60" fillId="7" borderId="1" xfId="0" applyNumberFormat="1" applyFont="1" applyFill="1" applyBorder="1"/>
    <xf numFmtId="169" fontId="60" fillId="0" borderId="1" xfId="0" applyNumberFormat="1" applyFont="1" applyBorder="1"/>
    <xf numFmtId="0" fontId="60" fillId="0" borderId="1" xfId="0" applyFont="1" applyBorder="1"/>
    <xf numFmtId="169" fontId="59"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166"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0" fillId="0" borderId="1" xfId="0" applyNumberFormat="1" applyFill="1" applyBorder="1"/>
    <xf numFmtId="9" fontId="44" fillId="7"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0" fontId="68" fillId="0" borderId="0" xfId="0" applyFont="1"/>
    <xf numFmtId="164" fontId="0" fillId="0" borderId="0" xfId="2" applyFont="1"/>
    <xf numFmtId="164" fontId="27" fillId="0" borderId="0" xfId="2" applyFont="1"/>
    <xf numFmtId="164" fontId="27" fillId="0" borderId="0" xfId="2" applyFont="1" applyBorder="1" applyAlignment="1">
      <alignment horizontal="center"/>
    </xf>
    <xf numFmtId="164" fontId="28" fillId="0" borderId="0" xfId="2" applyFont="1"/>
    <xf numFmtId="0" fontId="41" fillId="6" borderId="1" xfId="3" applyNumberFormat="1" applyFont="1" applyFill="1" applyBorder="1" applyAlignment="1">
      <alignment horizontal="right" vertical="center" wrapText="1"/>
    </xf>
    <xf numFmtId="164" fontId="27" fillId="0" borderId="1" xfId="2" applyFont="1" applyBorder="1"/>
    <xf numFmtId="164" fontId="27" fillId="0" borderId="1" xfId="0" applyNumberFormat="1" applyFont="1" applyBorder="1"/>
    <xf numFmtId="9" fontId="54" fillId="7" borderId="1" xfId="1" applyFont="1" applyFill="1" applyBorder="1" applyAlignment="1">
      <alignment horizontal="center"/>
    </xf>
    <xf numFmtId="9" fontId="44" fillId="0" borderId="1" xfId="1" applyFont="1" applyFill="1" applyBorder="1" applyAlignment="1">
      <alignment horizontal="right" vertical="center" wrapText="1"/>
    </xf>
    <xf numFmtId="0" fontId="6" fillId="0" borderId="1" xfId="0" applyFont="1" applyBorder="1" applyAlignment="1">
      <alignment wrapText="1"/>
    </xf>
    <xf numFmtId="2" fontId="28" fillId="0" borderId="11" xfId="0" applyNumberFormat="1" applyFont="1" applyFill="1" applyBorder="1"/>
    <xf numFmtId="0" fontId="2" fillId="0" borderId="0" xfId="0" applyFont="1" applyAlignment="1">
      <alignment horizontal="center"/>
    </xf>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51" fillId="0" borderId="0" xfId="0" applyFont="1" applyAlignment="1">
      <alignment horizontal="center" wrapText="1"/>
    </xf>
    <xf numFmtId="0" fontId="28"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6" borderId="1" xfId="0" applyFont="1" applyFill="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46"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Fill="1" applyBorder="1" applyAlignment="1">
      <alignment horizontal="center" wrapText="1"/>
    </xf>
    <xf numFmtId="0" fontId="13" fillId="0" borderId="0" xfId="0" applyFont="1" applyAlignment="1">
      <alignment horizontal="center" wrapText="1"/>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0" fillId="0" borderId="1" xfId="0" applyFont="1" applyBorder="1" applyAlignment="1">
      <alignment horizontal="center" vertical="center" wrapText="1"/>
    </xf>
    <xf numFmtId="0" fontId="26" fillId="0" borderId="0" xfId="0" applyFont="1" applyFill="1" applyBorder="1" applyAlignment="1">
      <alignment horizontal="center"/>
    </xf>
    <xf numFmtId="0" fontId="37" fillId="0" borderId="0" xfId="6" applyFont="1" applyFill="1" applyBorder="1" applyAlignment="1"/>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row r="3">
          <cell r="C3" t="str">
            <v>Land and Building</v>
          </cell>
        </row>
        <row r="4">
          <cell r="C4" t="str">
            <v>Machinery and Equipment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115" zoomScaleNormal="100" zoomScaleSheetLayoutView="115" workbookViewId="0">
      <selection activeCell="I27" sqref="I27"/>
    </sheetView>
  </sheetViews>
  <sheetFormatPr defaultColWidth="9.140625" defaultRowHeight="15"/>
  <cols>
    <col min="1" max="1" width="12.85546875" style="375" customWidth="1"/>
    <col min="2" max="2" width="56" style="375" customWidth="1"/>
    <col min="3" max="3" width="26.28515625" style="375" customWidth="1"/>
    <col min="4" max="4" width="20.7109375" style="375" customWidth="1"/>
    <col min="5" max="5" width="29.42578125" style="375" customWidth="1"/>
    <col min="6" max="16384" width="9.140625" style="375"/>
  </cols>
  <sheetData>
    <row r="1" spans="1:5" ht="26.25" customHeight="1">
      <c r="A1" s="404" t="s">
        <v>605</v>
      </c>
      <c r="B1" s="404"/>
      <c r="C1" s="404"/>
      <c r="D1" s="404"/>
      <c r="E1" s="404"/>
    </row>
    <row r="2" spans="1:5" ht="26.25" customHeight="1">
      <c r="A2" s="405" t="s">
        <v>601</v>
      </c>
      <c r="B2" s="405"/>
      <c r="C2" s="405"/>
      <c r="D2" s="405"/>
      <c r="E2" s="405"/>
    </row>
    <row r="3" spans="1:5" ht="23.25" customHeight="1">
      <c r="A3" s="406" t="s">
        <v>572</v>
      </c>
      <c r="B3" s="406"/>
      <c r="C3" s="406"/>
      <c r="D3" s="406"/>
      <c r="E3" s="406"/>
    </row>
    <row r="4" spans="1:5" ht="240.75" customHeight="1">
      <c r="A4" s="407" t="s">
        <v>606</v>
      </c>
      <c r="B4" s="407"/>
      <c r="C4" s="407"/>
      <c r="D4" s="407"/>
      <c r="E4" s="407"/>
    </row>
    <row r="5" spans="1:5" ht="23.25" customHeight="1">
      <c r="A5" s="406" t="s">
        <v>573</v>
      </c>
      <c r="B5" s="406"/>
      <c r="C5" s="406"/>
      <c r="D5" s="406"/>
      <c r="E5" s="406"/>
    </row>
    <row r="6" spans="1:5" ht="108" customHeight="1">
      <c r="A6" s="414" t="s">
        <v>644</v>
      </c>
      <c r="B6" s="415"/>
      <c r="C6" s="415"/>
      <c r="D6" s="415"/>
      <c r="E6" s="416"/>
    </row>
    <row r="7" spans="1:5" ht="23.25" customHeight="1">
      <c r="A7" s="417" t="s">
        <v>607</v>
      </c>
      <c r="B7" s="417"/>
      <c r="C7" s="417"/>
      <c r="D7" s="417"/>
      <c r="E7" s="417"/>
    </row>
    <row r="8" spans="1:5" ht="125.25" customHeight="1">
      <c r="A8" s="407" t="s">
        <v>643</v>
      </c>
      <c r="B8" s="407"/>
      <c r="C8" s="407"/>
      <c r="D8" s="407"/>
      <c r="E8" s="407"/>
    </row>
    <row r="9" spans="1:5" ht="23.25">
      <c r="A9" s="406" t="s">
        <v>598</v>
      </c>
      <c r="B9" s="406"/>
      <c r="C9" s="406"/>
      <c r="D9" s="406"/>
      <c r="E9" s="406"/>
    </row>
    <row r="10" spans="1:5">
      <c r="A10" s="375" t="s">
        <v>574</v>
      </c>
      <c r="B10" s="375" t="s">
        <v>116</v>
      </c>
    </row>
    <row r="11" spans="1:5" ht="20.25" customHeight="1">
      <c r="A11" s="379"/>
      <c r="B11" s="418" t="s">
        <v>366</v>
      </c>
      <c r="C11" s="419"/>
      <c r="D11" s="419"/>
      <c r="E11" s="420"/>
    </row>
    <row r="12" spans="1:5">
      <c r="A12" s="380"/>
      <c r="B12" s="408" t="s">
        <v>367</v>
      </c>
      <c r="C12" s="408"/>
      <c r="D12" s="408"/>
      <c r="E12" s="408"/>
    </row>
    <row r="13" spans="1:5" s="384" customFormat="1">
      <c r="A13" s="409"/>
      <c r="B13" s="409"/>
      <c r="C13" s="409"/>
      <c r="D13" s="409"/>
      <c r="E13" s="410"/>
    </row>
    <row r="14" spans="1:5" ht="23.25">
      <c r="A14" s="406" t="s">
        <v>599</v>
      </c>
      <c r="B14" s="406"/>
      <c r="C14" s="406"/>
      <c r="D14" s="406"/>
      <c r="E14" s="406"/>
    </row>
    <row r="15" spans="1:5">
      <c r="A15" s="376" t="s">
        <v>570</v>
      </c>
      <c r="B15" s="376" t="s">
        <v>608</v>
      </c>
      <c r="C15" s="376" t="s">
        <v>419</v>
      </c>
      <c r="D15" s="376" t="s">
        <v>578</v>
      </c>
      <c r="E15" s="376" t="s">
        <v>571</v>
      </c>
    </row>
    <row r="16" spans="1:5">
      <c r="A16" s="385" t="s">
        <v>138</v>
      </c>
      <c r="B16" s="385" t="s">
        <v>609</v>
      </c>
      <c r="C16" s="385"/>
      <c r="D16" s="385"/>
      <c r="E16" s="385"/>
    </row>
    <row r="17" spans="1:5" ht="60">
      <c r="A17" s="386" t="s">
        <v>588</v>
      </c>
      <c r="B17" s="377" t="s">
        <v>595</v>
      </c>
      <c r="C17" s="377" t="s">
        <v>640</v>
      </c>
      <c r="D17" s="377" t="s">
        <v>610</v>
      </c>
      <c r="E17" s="377"/>
    </row>
    <row r="18" spans="1:5" ht="90">
      <c r="A18" s="386" t="s">
        <v>589</v>
      </c>
      <c r="B18" s="377" t="s">
        <v>575</v>
      </c>
      <c r="C18" s="377" t="s">
        <v>641</v>
      </c>
      <c r="D18" s="377" t="s">
        <v>611</v>
      </c>
      <c r="E18" s="377"/>
    </row>
    <row r="19" spans="1:5" ht="26.25" customHeight="1">
      <c r="A19" s="386" t="s">
        <v>590</v>
      </c>
      <c r="B19" s="378" t="s">
        <v>602</v>
      </c>
      <c r="C19" s="377" t="s">
        <v>612</v>
      </c>
      <c r="D19" s="377" t="s">
        <v>613</v>
      </c>
      <c r="E19" s="377" t="s">
        <v>600</v>
      </c>
    </row>
    <row r="20" spans="1:5" ht="30">
      <c r="A20" s="386" t="s">
        <v>591</v>
      </c>
      <c r="B20" s="377" t="s">
        <v>642</v>
      </c>
      <c r="C20" s="377"/>
      <c r="D20" s="377"/>
      <c r="E20" s="377"/>
    </row>
    <row r="21" spans="1:5">
      <c r="A21" s="377">
        <v>4.0999999999999996</v>
      </c>
      <c r="B21" s="377" t="s">
        <v>582</v>
      </c>
      <c r="C21" s="411" t="s">
        <v>614</v>
      </c>
      <c r="D21" s="377" t="s">
        <v>615</v>
      </c>
      <c r="E21" s="377"/>
    </row>
    <row r="22" spans="1:5" ht="30">
      <c r="A22" s="377">
        <v>4.2</v>
      </c>
      <c r="B22" s="377" t="s">
        <v>586</v>
      </c>
      <c r="C22" s="412"/>
      <c r="D22" s="377" t="s">
        <v>616</v>
      </c>
      <c r="E22" s="377"/>
    </row>
    <row r="23" spans="1:5">
      <c r="A23" s="377">
        <v>4.3</v>
      </c>
      <c r="B23" s="377" t="s">
        <v>583</v>
      </c>
      <c r="C23" s="412"/>
      <c r="D23" s="377" t="s">
        <v>617</v>
      </c>
      <c r="E23" s="377"/>
    </row>
    <row r="24" spans="1:5">
      <c r="A24" s="377">
        <v>4.4000000000000004</v>
      </c>
      <c r="B24" s="377" t="s">
        <v>584</v>
      </c>
      <c r="C24" s="412"/>
      <c r="D24" s="377" t="s">
        <v>618</v>
      </c>
      <c r="E24" s="377"/>
    </row>
    <row r="25" spans="1:5">
      <c r="A25" s="377">
        <v>4.5</v>
      </c>
      <c r="B25" s="377" t="s">
        <v>585</v>
      </c>
      <c r="C25" s="412"/>
      <c r="D25" s="377" t="s">
        <v>619</v>
      </c>
      <c r="E25" s="377"/>
    </row>
    <row r="26" spans="1:5">
      <c r="A26" s="377">
        <v>4.5999999999999996</v>
      </c>
      <c r="B26" s="377" t="s">
        <v>587</v>
      </c>
      <c r="C26" s="413"/>
      <c r="D26" s="377" t="s">
        <v>620</v>
      </c>
      <c r="E26" s="377"/>
    </row>
    <row r="27" spans="1:5" ht="45">
      <c r="A27" s="386" t="s">
        <v>592</v>
      </c>
      <c r="B27" s="377" t="s">
        <v>576</v>
      </c>
      <c r="C27" s="377" t="s">
        <v>621</v>
      </c>
      <c r="D27" s="377" t="s">
        <v>646</v>
      </c>
      <c r="E27" s="377"/>
    </row>
    <row r="28" spans="1:5" ht="60">
      <c r="A28" s="386" t="s">
        <v>593</v>
      </c>
      <c r="B28" s="377" t="s">
        <v>622</v>
      </c>
      <c r="C28" s="377" t="s">
        <v>623</v>
      </c>
      <c r="D28" s="377" t="s">
        <v>624</v>
      </c>
      <c r="E28" s="377"/>
    </row>
    <row r="29" spans="1:5" ht="45">
      <c r="A29" s="386" t="s">
        <v>594</v>
      </c>
      <c r="B29" s="377" t="s">
        <v>577</v>
      </c>
      <c r="C29" s="377" t="s">
        <v>625</v>
      </c>
      <c r="D29" s="377" t="s">
        <v>626</v>
      </c>
      <c r="E29" s="377"/>
    </row>
    <row r="30" spans="1:5">
      <c r="A30" s="385" t="s">
        <v>139</v>
      </c>
      <c r="B30" s="387" t="s">
        <v>627</v>
      </c>
      <c r="C30" s="385"/>
      <c r="D30" s="385"/>
      <c r="E30" s="385"/>
    </row>
    <row r="31" spans="1:5" ht="26.25" customHeight="1">
      <c r="A31" s="388" t="s">
        <v>628</v>
      </c>
      <c r="B31" s="377" t="s">
        <v>579</v>
      </c>
      <c r="C31" s="377"/>
      <c r="D31" s="377" t="s">
        <v>629</v>
      </c>
      <c r="E31" s="377" t="s">
        <v>600</v>
      </c>
    </row>
    <row r="32" spans="1:5">
      <c r="A32" s="388" t="s">
        <v>630</v>
      </c>
      <c r="B32" s="377" t="s">
        <v>580</v>
      </c>
      <c r="C32" s="377"/>
      <c r="D32" s="377" t="s">
        <v>631</v>
      </c>
      <c r="E32" s="377" t="s">
        <v>600</v>
      </c>
    </row>
    <row r="33" spans="1:5">
      <c r="A33" s="388" t="s">
        <v>632</v>
      </c>
      <c r="B33" s="377" t="s">
        <v>581</v>
      </c>
      <c r="C33" s="377"/>
      <c r="D33" s="377" t="s">
        <v>633</v>
      </c>
      <c r="E33" s="377" t="s">
        <v>600</v>
      </c>
    </row>
    <row r="34" spans="1:5" ht="35.25" customHeight="1">
      <c r="A34" s="388" t="s">
        <v>634</v>
      </c>
      <c r="B34" s="377" t="s">
        <v>596</v>
      </c>
      <c r="C34" s="377"/>
      <c r="D34" s="377" t="s">
        <v>635</v>
      </c>
      <c r="E34" s="377" t="s">
        <v>600</v>
      </c>
    </row>
    <row r="35" spans="1:5" ht="35.25" customHeight="1">
      <c r="A35" s="388" t="s">
        <v>636</v>
      </c>
      <c r="B35" s="377" t="s">
        <v>637</v>
      </c>
      <c r="C35" s="377"/>
      <c r="D35" s="377" t="s">
        <v>645</v>
      </c>
      <c r="E35" s="377" t="s">
        <v>600</v>
      </c>
    </row>
    <row r="36" spans="1:5">
      <c r="A36" s="386" t="s">
        <v>638</v>
      </c>
      <c r="B36" s="377" t="s">
        <v>639</v>
      </c>
      <c r="C36" s="377"/>
      <c r="D36" s="377"/>
      <c r="E36" s="377"/>
    </row>
    <row r="37" spans="1:5" ht="21">
      <c r="A37" s="403"/>
      <c r="B37" s="403"/>
      <c r="C37" s="403"/>
      <c r="D37" s="403"/>
      <c r="E37" s="403"/>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0866141732283472" right="0.70866141732283472" top="0.74803149606299213" bottom="0.74803149606299213" header="0.31496062992125984" footer="0.31496062992125984"/>
  <pageSetup paperSize="9" scale="85" orientation="landscape"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33"/>
  <sheetViews>
    <sheetView view="pageBreakPreview" zoomScaleNormal="100" zoomScaleSheetLayoutView="100" workbookViewId="0">
      <selection activeCell="E21" sqref="E21"/>
    </sheetView>
  </sheetViews>
  <sheetFormatPr defaultRowHeight="15"/>
  <cols>
    <col min="2" max="2" width="7.5703125" bestFit="1" customWidth="1"/>
    <col min="3" max="3" width="26.28515625" bestFit="1" customWidth="1"/>
    <col min="4" max="4" width="15" customWidth="1"/>
    <col min="5" max="5" width="16" customWidth="1"/>
    <col min="6" max="6" width="17.85546875" customWidth="1"/>
    <col min="7" max="7" width="11.28515625" customWidth="1"/>
  </cols>
  <sheetData>
    <row r="2" spans="1:13" ht="18.75">
      <c r="B2" s="425" t="s">
        <v>509</v>
      </c>
      <c r="C2" s="425"/>
      <c r="D2" s="425"/>
      <c r="E2" s="425"/>
      <c r="F2" s="425"/>
    </row>
    <row r="4" spans="1:13">
      <c r="B4" s="349" t="s">
        <v>110</v>
      </c>
      <c r="C4" s="349" t="s">
        <v>92</v>
      </c>
      <c r="D4" s="349" t="s">
        <v>123</v>
      </c>
      <c r="E4" s="354" t="s">
        <v>430</v>
      </c>
      <c r="F4" s="354" t="s">
        <v>431</v>
      </c>
    </row>
    <row r="5" spans="1:13">
      <c r="B5" s="350">
        <v>1</v>
      </c>
      <c r="C5" s="351" t="str">
        <f>'2.Capex Details'!B2</f>
        <v>Land and Building</v>
      </c>
      <c r="D5" s="355">
        <f>'2.Capex Details'!G12</f>
        <v>16153456.73</v>
      </c>
      <c r="E5" s="356">
        <v>0.6</v>
      </c>
      <c r="F5" s="357">
        <f>D5*E5</f>
        <v>9692074.0380000006</v>
      </c>
    </row>
    <row r="6" spans="1:13">
      <c r="B6" s="350">
        <v>2</v>
      </c>
      <c r="C6" s="351" t="str">
        <f>'2.Capex Details'!B17</f>
        <v>Machinery and Equipment</v>
      </c>
      <c r="D6" s="355">
        <f>'2.Capex Details'!G93</f>
        <v>32237242</v>
      </c>
      <c r="E6" s="356">
        <v>0.6</v>
      </c>
      <c r="F6" s="357">
        <f t="shared" ref="F6:F10" si="0">D6*E6</f>
        <v>19342345.199999999</v>
      </c>
    </row>
    <row r="7" spans="1:13">
      <c r="B7" s="350">
        <v>3</v>
      </c>
      <c r="C7" s="351" t="str">
        <f>'2.Capex Details'!B99</f>
        <v>Furniture and Fixture</v>
      </c>
      <c r="D7" s="355">
        <f>'2.Capex Details'!F108</f>
        <v>0</v>
      </c>
      <c r="E7" s="356">
        <v>0.6</v>
      </c>
      <c r="F7" s="357">
        <f t="shared" si="0"/>
        <v>0</v>
      </c>
    </row>
    <row r="8" spans="1:13">
      <c r="B8" s="350">
        <v>4</v>
      </c>
      <c r="C8" s="351" t="str">
        <f>'2.Capex Details'!B113</f>
        <v>IT &amp; It Infrastracture</v>
      </c>
      <c r="D8" s="355">
        <f>'2.Capex Details'!F122</f>
        <v>0</v>
      </c>
      <c r="E8" s="356">
        <v>0.6</v>
      </c>
      <c r="F8" s="357">
        <f t="shared" si="0"/>
        <v>0</v>
      </c>
    </row>
    <row r="9" spans="1:13" ht="25.5">
      <c r="B9" s="350">
        <v>5</v>
      </c>
      <c r="C9" s="351" t="str">
        <f>'2.Capex Details'!B127</f>
        <v>Transport vehical  (Refer van and other)</v>
      </c>
      <c r="D9" s="355">
        <f>'2.Capex Details'!F133</f>
        <v>0</v>
      </c>
      <c r="E9" s="356">
        <v>0.6</v>
      </c>
      <c r="F9" s="357">
        <f t="shared" si="0"/>
        <v>0</v>
      </c>
    </row>
    <row r="10" spans="1:13">
      <c r="B10" s="350">
        <v>6</v>
      </c>
      <c r="C10" s="351" t="str">
        <f>'2.Capex Details'!B137</f>
        <v>Preliminary Expenses</v>
      </c>
      <c r="D10" s="355">
        <f>'2.Capex Details'!D145</f>
        <v>383600</v>
      </c>
      <c r="E10" s="356">
        <v>0.6</v>
      </c>
      <c r="F10" s="357">
        <f t="shared" si="0"/>
        <v>230160</v>
      </c>
      <c r="L10" t="s">
        <v>377</v>
      </c>
    </row>
    <row r="11" spans="1:13">
      <c r="B11" s="350">
        <v>7</v>
      </c>
      <c r="C11" s="351" t="s">
        <v>122</v>
      </c>
      <c r="D11" s="355">
        <f>'5.Closing Stock &amp; W Capital'!E56</f>
        <v>1221306.5980479452</v>
      </c>
      <c r="E11" s="358"/>
      <c r="F11" s="358"/>
    </row>
    <row r="12" spans="1:13">
      <c r="B12" s="424" t="s">
        <v>1</v>
      </c>
      <c r="C12" s="424"/>
      <c r="D12" s="359">
        <f>SUM(D5:D11)</f>
        <v>49995605.328047946</v>
      </c>
      <c r="E12" s="358"/>
      <c r="F12" s="359">
        <f>SUM(F5:F11)</f>
        <v>29264579.237999998</v>
      </c>
    </row>
    <row r="13" spans="1:13">
      <c r="D13" s="22"/>
      <c r="M13">
        <v>48</v>
      </c>
    </row>
    <row r="14" spans="1:13" ht="25.5" customHeight="1">
      <c r="A14" s="426" t="s">
        <v>378</v>
      </c>
      <c r="B14" s="426"/>
      <c r="C14" s="426"/>
      <c r="D14" s="426"/>
      <c r="E14" s="426"/>
      <c r="F14" s="426"/>
      <c r="M14">
        <v>11.64</v>
      </c>
    </row>
    <row r="15" spans="1:13">
      <c r="M15">
        <f>M13+M14</f>
        <v>59.64</v>
      </c>
    </row>
    <row r="16" spans="1:13" ht="18.75">
      <c r="B16" s="425" t="s">
        <v>510</v>
      </c>
      <c r="C16" s="425"/>
      <c r="D16" s="425"/>
      <c r="E16" s="425"/>
      <c r="F16" s="425"/>
      <c r="M16">
        <v>19.05</v>
      </c>
    </row>
    <row r="17" spans="2:13">
      <c r="M17">
        <f>M15+M16</f>
        <v>78.69</v>
      </c>
    </row>
    <row r="18" spans="2:13">
      <c r="B18" s="348" t="s">
        <v>110</v>
      </c>
      <c r="C18" s="349" t="s">
        <v>92</v>
      </c>
      <c r="D18" s="349" t="s">
        <v>604</v>
      </c>
      <c r="E18" s="349" t="s">
        <v>123</v>
      </c>
    </row>
    <row r="19" spans="2:13" ht="25.5">
      <c r="B19" s="350">
        <v>1</v>
      </c>
      <c r="C19" s="351" t="s">
        <v>289</v>
      </c>
      <c r="D19" s="389"/>
      <c r="E19" s="352">
        <f>F12</f>
        <v>29264579.237999998</v>
      </c>
    </row>
    <row r="20" spans="2:13" ht="38.25">
      <c r="B20" s="350">
        <v>2</v>
      </c>
      <c r="C20" s="351" t="s">
        <v>720</v>
      </c>
      <c r="D20" s="383">
        <v>0.3</v>
      </c>
      <c r="E20" s="352">
        <f>+D12-E19-E21</f>
        <v>14632289.619000003</v>
      </c>
    </row>
    <row r="21" spans="2:13" ht="25.5">
      <c r="B21" s="350">
        <v>3</v>
      </c>
      <c r="C21" s="351" t="s">
        <v>724</v>
      </c>
      <c r="D21" s="399">
        <v>0.1</v>
      </c>
      <c r="E21" s="352">
        <f>+SUM(D5:D10)*D21+D11</f>
        <v>6098736.4710479453</v>
      </c>
    </row>
    <row r="22" spans="2:13">
      <c r="B22" s="424" t="s">
        <v>1</v>
      </c>
      <c r="C22" s="424"/>
      <c r="D22" s="353"/>
      <c r="E22" s="353">
        <f>SUM(E19:E21)</f>
        <v>49995605.328047946</v>
      </c>
    </row>
    <row r="24" spans="2:13">
      <c r="B24" s="402" t="s">
        <v>379</v>
      </c>
      <c r="C24" s="402"/>
      <c r="D24" s="402"/>
      <c r="E24" s="402"/>
      <c r="F24" s="402"/>
    </row>
    <row r="26" spans="2:13" ht="18.75">
      <c r="B26" s="423" t="s">
        <v>511</v>
      </c>
      <c r="C26" s="423"/>
      <c r="D26" s="423"/>
      <c r="E26" s="423"/>
      <c r="F26" s="423"/>
    </row>
    <row r="27" spans="2:13">
      <c r="B27" s="360" t="s">
        <v>110</v>
      </c>
      <c r="C27" s="361" t="s">
        <v>560</v>
      </c>
      <c r="D27" s="362" t="s">
        <v>561</v>
      </c>
      <c r="E27" s="363" t="s">
        <v>562</v>
      </c>
      <c r="F27" s="421" t="s">
        <v>563</v>
      </c>
      <c r="G27" s="422"/>
    </row>
    <row r="28" spans="2:13" ht="25.5">
      <c r="B28" s="364">
        <v>1</v>
      </c>
      <c r="C28" s="351" t="s">
        <v>336</v>
      </c>
      <c r="D28" s="365">
        <f>'9. Financial indiacators'!C49</f>
        <v>0.41653302860761637</v>
      </c>
      <c r="E28" s="364" t="s">
        <v>337</v>
      </c>
      <c r="F28" s="371" t="s">
        <v>564</v>
      </c>
      <c r="G28" s="364" t="s">
        <v>338</v>
      </c>
    </row>
    <row r="29" spans="2:13" ht="38.25">
      <c r="B29" s="364">
        <v>2</v>
      </c>
      <c r="C29" s="351" t="s">
        <v>339</v>
      </c>
      <c r="D29" s="366">
        <f>'9. Financial indiacators'!C85</f>
        <v>0.12778932108896321</v>
      </c>
      <c r="E29" s="364" t="s">
        <v>337</v>
      </c>
      <c r="F29" s="371" t="s">
        <v>565</v>
      </c>
      <c r="G29" s="364" t="s">
        <v>340</v>
      </c>
    </row>
    <row r="30" spans="2:13" ht="38.25">
      <c r="B30" s="364">
        <v>3</v>
      </c>
      <c r="C30" s="351" t="s">
        <v>341</v>
      </c>
      <c r="D30" s="365">
        <f>'9. Financial indiacators'!C16</f>
        <v>0.10841383812482497</v>
      </c>
      <c r="E30" s="364" t="s">
        <v>337</v>
      </c>
      <c r="F30" s="371" t="s">
        <v>566</v>
      </c>
      <c r="G30" s="364" t="s">
        <v>342</v>
      </c>
    </row>
    <row r="31" spans="2:13" ht="63.75">
      <c r="B31" s="364">
        <v>4</v>
      </c>
      <c r="C31" s="351" t="s">
        <v>343</v>
      </c>
      <c r="D31" s="367">
        <f>'9. Financial indiacators'!C73</f>
        <v>1472929.6343979686</v>
      </c>
      <c r="E31" s="364" t="s">
        <v>347</v>
      </c>
      <c r="F31" s="371" t="s">
        <v>567</v>
      </c>
      <c r="G31" s="364" t="s">
        <v>344</v>
      </c>
    </row>
    <row r="32" spans="2:13" ht="38.25">
      <c r="B32" s="364">
        <v>5</v>
      </c>
      <c r="C32" s="351" t="s">
        <v>345</v>
      </c>
      <c r="D32" s="368">
        <f>'9. Financial indiacators'!D101</f>
        <v>4.85943633785502</v>
      </c>
      <c r="E32" s="364" t="s">
        <v>337</v>
      </c>
      <c r="F32" s="371" t="s">
        <v>568</v>
      </c>
      <c r="G32" s="364" t="s">
        <v>348</v>
      </c>
    </row>
    <row r="33" spans="2:7" ht="38.25">
      <c r="B33" s="364">
        <v>6</v>
      </c>
      <c r="C33" s="369" t="s">
        <v>346</v>
      </c>
      <c r="D33" s="368">
        <f>'9. Financial indiacators'!C119</f>
        <v>2.1106998788735996</v>
      </c>
      <c r="E33" s="370" t="s">
        <v>337</v>
      </c>
      <c r="F33" s="371" t="s">
        <v>569</v>
      </c>
      <c r="G33" s="369" t="s">
        <v>349</v>
      </c>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25" right="0.25" top="0.75" bottom="0.7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47"/>
  <sheetViews>
    <sheetView view="pageBreakPreview" zoomScaleNormal="100" zoomScaleSheetLayoutView="100" workbookViewId="0">
      <selection activeCell="D143" sqref="D143"/>
    </sheetView>
  </sheetViews>
  <sheetFormatPr defaultRowHeight="15"/>
  <cols>
    <col min="2" max="2" width="7.5703125" bestFit="1" customWidth="1"/>
    <col min="3" max="3" width="41.5703125" customWidth="1"/>
    <col min="4" max="4" width="10.140625" bestFit="1" customWidth="1"/>
    <col min="5" max="5" width="17" customWidth="1"/>
    <col min="6" max="6" width="14" bestFit="1" customWidth="1"/>
    <col min="7" max="7" width="13.140625" bestFit="1" customWidth="1"/>
    <col min="8" max="8" width="11.5703125" bestFit="1" customWidth="1"/>
    <col min="10" max="10" width="10.140625" bestFit="1" customWidth="1"/>
  </cols>
  <sheetData>
    <row r="2" spans="1:7" ht="18.75">
      <c r="A2">
        <v>2.1</v>
      </c>
      <c r="B2" s="425" t="s">
        <v>120</v>
      </c>
      <c r="C2" s="425"/>
      <c r="D2" s="425"/>
      <c r="E2" s="425"/>
      <c r="F2" s="425"/>
      <c r="G2" s="425"/>
    </row>
    <row r="4" spans="1:7" ht="28.5">
      <c r="B4" s="214" t="s">
        <v>110</v>
      </c>
      <c r="C4" s="214" t="s">
        <v>92</v>
      </c>
      <c r="D4" s="214" t="s">
        <v>97</v>
      </c>
      <c r="E4" s="214" t="s">
        <v>111</v>
      </c>
      <c r="F4" s="214" t="s">
        <v>112</v>
      </c>
      <c r="G4" s="214" t="s">
        <v>123</v>
      </c>
    </row>
    <row r="5" spans="1:7">
      <c r="B5" s="263">
        <v>1</v>
      </c>
      <c r="C5" s="263" t="s">
        <v>113</v>
      </c>
      <c r="D5" s="263" t="s">
        <v>114</v>
      </c>
      <c r="E5" s="372"/>
      <c r="F5" s="373"/>
      <c r="G5" s="374" t="s">
        <v>115</v>
      </c>
    </row>
    <row r="6" spans="1:7">
      <c r="B6" s="263">
        <v>2</v>
      </c>
      <c r="C6" s="263" t="s">
        <v>657</v>
      </c>
      <c r="D6" s="264"/>
      <c r="E6" s="229"/>
      <c r="F6" s="230"/>
      <c r="G6" s="231">
        <v>16153456.73</v>
      </c>
    </row>
    <row r="7" spans="1:7">
      <c r="B7" s="263"/>
      <c r="C7" s="263"/>
      <c r="D7" s="264"/>
      <c r="E7" s="229"/>
      <c r="F7" s="230"/>
      <c r="G7" s="231">
        <f t="shared" ref="G7:G11" si="0">E7*F7</f>
        <v>0</v>
      </c>
    </row>
    <row r="8" spans="1:7">
      <c r="B8" s="263"/>
      <c r="C8" s="263"/>
      <c r="D8" s="264"/>
      <c r="E8" s="229"/>
      <c r="F8" s="230"/>
      <c r="G8" s="231">
        <f t="shared" si="0"/>
        <v>0</v>
      </c>
    </row>
    <row r="9" spans="1:7">
      <c r="B9" s="263"/>
      <c r="C9" s="263"/>
      <c r="D9" s="264"/>
      <c r="E9" s="229"/>
      <c r="F9" s="230"/>
      <c r="G9" s="231">
        <f t="shared" si="0"/>
        <v>0</v>
      </c>
    </row>
    <row r="10" spans="1:7">
      <c r="B10" s="263"/>
      <c r="C10" s="263"/>
      <c r="D10" s="264"/>
      <c r="E10" s="229"/>
      <c r="F10" s="230"/>
      <c r="G10" s="231">
        <f t="shared" si="0"/>
        <v>0</v>
      </c>
    </row>
    <row r="11" spans="1:7">
      <c r="B11" s="263"/>
      <c r="C11" s="263"/>
      <c r="D11" s="264"/>
      <c r="E11" s="229"/>
      <c r="F11" s="230"/>
      <c r="G11" s="231">
        <f t="shared" si="0"/>
        <v>0</v>
      </c>
    </row>
    <row r="12" spans="1:7">
      <c r="B12" s="427" t="s">
        <v>1</v>
      </c>
      <c r="C12" s="427"/>
      <c r="D12" s="427"/>
      <c r="E12" s="427"/>
      <c r="F12" s="427"/>
      <c r="G12" s="228">
        <f>SUM(G6:G11)</f>
        <v>16153456.73</v>
      </c>
    </row>
    <row r="15" spans="1:7">
      <c r="B15" s="402" t="s">
        <v>373</v>
      </c>
      <c r="C15" s="402"/>
      <c r="D15" s="402"/>
      <c r="E15" s="402"/>
      <c r="F15" s="402"/>
      <c r="G15" s="402"/>
    </row>
    <row r="17" spans="1:8" ht="18.75">
      <c r="A17">
        <v>2.2000000000000002</v>
      </c>
      <c r="B17" s="425" t="s">
        <v>121</v>
      </c>
      <c r="C17" s="425"/>
      <c r="D17" s="425"/>
      <c r="E17" s="425"/>
      <c r="F17" s="425"/>
      <c r="G17" s="425"/>
      <c r="H17" s="425"/>
    </row>
    <row r="18" spans="1:8">
      <c r="B18" s="19"/>
    </row>
    <row r="19" spans="1:8" ht="28.5">
      <c r="B19" s="323" t="s">
        <v>110</v>
      </c>
      <c r="C19" s="323" t="s">
        <v>116</v>
      </c>
      <c r="D19" s="323" t="s">
        <v>126</v>
      </c>
      <c r="E19" s="323" t="s">
        <v>117</v>
      </c>
      <c r="F19" s="323" t="s">
        <v>118</v>
      </c>
      <c r="G19" s="323" t="s">
        <v>123</v>
      </c>
      <c r="H19" s="323" t="s">
        <v>119</v>
      </c>
    </row>
    <row r="20" spans="1:8">
      <c r="B20" s="239"/>
      <c r="C20" s="232"/>
      <c r="D20" s="232"/>
      <c r="E20" s="232"/>
      <c r="F20" s="232"/>
      <c r="G20" s="233"/>
      <c r="H20" s="232"/>
    </row>
    <row r="21" spans="1:8">
      <c r="B21" s="235" t="s">
        <v>138</v>
      </c>
      <c r="C21" s="234" t="s">
        <v>322</v>
      </c>
      <c r="D21" s="234"/>
      <c r="E21" s="235"/>
      <c r="F21" s="236"/>
      <c r="G21" s="233">
        <f t="shared" ref="G21:G31" si="1">E21*F21</f>
        <v>0</v>
      </c>
      <c r="H21" s="237"/>
    </row>
    <row r="22" spans="1:8">
      <c r="B22" s="235"/>
      <c r="C22" s="234"/>
      <c r="D22" s="234"/>
      <c r="E22" s="235"/>
      <c r="F22" s="236"/>
      <c r="G22" s="233">
        <f t="shared" si="1"/>
        <v>0</v>
      </c>
      <c r="H22" s="237"/>
    </row>
    <row r="23" spans="1:8">
      <c r="B23" s="235"/>
      <c r="C23" s="234"/>
      <c r="D23" s="234"/>
      <c r="E23" s="235"/>
      <c r="F23" s="236"/>
      <c r="G23" s="233">
        <f t="shared" si="1"/>
        <v>0</v>
      </c>
      <c r="H23" s="237"/>
    </row>
    <row r="24" spans="1:8">
      <c r="B24" s="235"/>
      <c r="C24" s="234"/>
      <c r="D24" s="234"/>
      <c r="E24" s="235"/>
      <c r="F24" s="236"/>
      <c r="G24" s="233">
        <f t="shared" si="1"/>
        <v>0</v>
      </c>
      <c r="H24" s="237"/>
    </row>
    <row r="25" spans="1:8">
      <c r="B25" s="235"/>
      <c r="C25" s="234"/>
      <c r="D25" s="234"/>
      <c r="E25" s="235"/>
      <c r="F25" s="236"/>
      <c r="G25" s="233">
        <f t="shared" si="1"/>
        <v>0</v>
      </c>
      <c r="H25" s="237"/>
    </row>
    <row r="26" spans="1:8">
      <c r="B26" s="235"/>
      <c r="C26" s="234"/>
      <c r="D26" s="234"/>
      <c r="E26" s="235"/>
      <c r="F26" s="236"/>
      <c r="G26" s="233">
        <f t="shared" si="1"/>
        <v>0</v>
      </c>
      <c r="H26" s="237"/>
    </row>
    <row r="27" spans="1:8">
      <c r="B27" s="235"/>
      <c r="C27" s="234"/>
      <c r="D27" s="234"/>
      <c r="E27" s="235"/>
      <c r="F27" s="236"/>
      <c r="G27" s="233">
        <f t="shared" si="1"/>
        <v>0</v>
      </c>
      <c r="H27" s="237"/>
    </row>
    <row r="28" spans="1:8">
      <c r="B28" s="235"/>
      <c r="C28" s="234"/>
      <c r="D28" s="234"/>
      <c r="E28" s="235"/>
      <c r="F28" s="236"/>
      <c r="G28" s="233">
        <f t="shared" si="1"/>
        <v>0</v>
      </c>
      <c r="H28" s="237"/>
    </row>
    <row r="29" spans="1:8">
      <c r="B29" s="235"/>
      <c r="C29" s="234"/>
      <c r="D29" s="235"/>
      <c r="E29" s="235"/>
      <c r="F29" s="236"/>
      <c r="G29" s="233">
        <f t="shared" si="1"/>
        <v>0</v>
      </c>
      <c r="H29" s="237"/>
    </row>
    <row r="30" spans="1:8">
      <c r="B30" s="235"/>
      <c r="C30" s="234"/>
      <c r="D30" s="235"/>
      <c r="E30" s="235"/>
      <c r="F30" s="236"/>
      <c r="G30" s="233">
        <f t="shared" si="1"/>
        <v>0</v>
      </c>
      <c r="H30" s="237"/>
    </row>
    <row r="31" spans="1:8">
      <c r="B31" s="235"/>
      <c r="C31" s="234"/>
      <c r="D31" s="235"/>
      <c r="E31" s="235"/>
      <c r="F31" s="236"/>
      <c r="G31" s="233">
        <f t="shared" si="1"/>
        <v>0</v>
      </c>
      <c r="H31" s="237"/>
    </row>
    <row r="32" spans="1:8">
      <c r="B32" s="429" t="s">
        <v>136</v>
      </c>
      <c r="C32" s="429"/>
      <c r="D32" s="235"/>
      <c r="E32" s="235"/>
      <c r="F32" s="238"/>
      <c r="G32" s="233">
        <f>SUM(G21:G31)</f>
        <v>0</v>
      </c>
      <c r="H32" s="233">
        <f>SUM(H21:H31)</f>
        <v>0</v>
      </c>
    </row>
    <row r="33" spans="2:8">
      <c r="B33" s="235" t="s">
        <v>139</v>
      </c>
      <c r="C33" s="234" t="s">
        <v>658</v>
      </c>
      <c r="D33" s="239"/>
      <c r="E33" s="239"/>
      <c r="F33" s="233"/>
      <c r="G33" s="233"/>
      <c r="H33" s="232"/>
    </row>
    <row r="34" spans="2:8">
      <c r="B34" s="239"/>
      <c r="C34" s="240"/>
      <c r="D34" s="240"/>
      <c r="E34" s="239"/>
      <c r="F34" s="233"/>
      <c r="G34" s="233">
        <f t="shared" ref="G34" si="2">E34*F34</f>
        <v>0</v>
      </c>
      <c r="H34" s="232"/>
    </row>
    <row r="35" spans="2:8">
      <c r="B35" s="239">
        <v>1</v>
      </c>
      <c r="C35" s="240" t="s">
        <v>659</v>
      </c>
      <c r="D35" s="239"/>
      <c r="E35" s="239">
        <v>1</v>
      </c>
      <c r="F35" s="233">
        <v>650000</v>
      </c>
      <c r="G35" s="233">
        <f>+E35*F35</f>
        <v>650000</v>
      </c>
      <c r="H35" s="232"/>
    </row>
    <row r="36" spans="2:8">
      <c r="B36" s="239">
        <v>2</v>
      </c>
      <c r="C36" s="240" t="s">
        <v>660</v>
      </c>
      <c r="D36" s="239"/>
      <c r="E36" s="239">
        <v>1</v>
      </c>
      <c r="F36" s="233">
        <v>460000</v>
      </c>
      <c r="G36" s="233">
        <f t="shared" ref="G36:G83" si="3">+E36*F36</f>
        <v>460000</v>
      </c>
      <c r="H36" s="232"/>
    </row>
    <row r="37" spans="2:8">
      <c r="B37" s="239">
        <v>3</v>
      </c>
      <c r="C37" s="240" t="s">
        <v>661</v>
      </c>
      <c r="D37" s="239"/>
      <c r="E37" s="239">
        <v>1</v>
      </c>
      <c r="F37" s="233">
        <v>390000</v>
      </c>
      <c r="G37" s="233">
        <f t="shared" si="3"/>
        <v>390000</v>
      </c>
      <c r="H37" s="232"/>
    </row>
    <row r="38" spans="2:8">
      <c r="B38" s="239">
        <v>4</v>
      </c>
      <c r="C38" s="240" t="s">
        <v>662</v>
      </c>
      <c r="D38" s="239"/>
      <c r="E38" s="239">
        <v>1</v>
      </c>
      <c r="F38" s="233">
        <v>210000</v>
      </c>
      <c r="G38" s="233">
        <f t="shared" si="3"/>
        <v>210000</v>
      </c>
      <c r="H38" s="232"/>
    </row>
    <row r="39" spans="2:8">
      <c r="B39" s="239">
        <v>5</v>
      </c>
      <c r="C39" s="240" t="s">
        <v>663</v>
      </c>
      <c r="D39" s="239"/>
      <c r="E39" s="239">
        <v>1</v>
      </c>
      <c r="F39" s="233">
        <v>1070000</v>
      </c>
      <c r="G39" s="233">
        <f t="shared" si="3"/>
        <v>1070000</v>
      </c>
      <c r="H39" s="232"/>
    </row>
    <row r="40" spans="2:8">
      <c r="B40" s="239">
        <v>6</v>
      </c>
      <c r="C40" s="240" t="s">
        <v>664</v>
      </c>
      <c r="D40" s="239"/>
      <c r="E40" s="239">
        <v>1</v>
      </c>
      <c r="F40" s="233">
        <v>580000</v>
      </c>
      <c r="G40" s="233">
        <f t="shared" si="3"/>
        <v>580000</v>
      </c>
      <c r="H40" s="232"/>
    </row>
    <row r="41" spans="2:8">
      <c r="B41" s="239">
        <v>7</v>
      </c>
      <c r="C41" s="240" t="s">
        <v>665</v>
      </c>
      <c r="D41" s="239"/>
      <c r="E41" s="239">
        <v>1</v>
      </c>
      <c r="F41" s="233">
        <v>60000</v>
      </c>
      <c r="G41" s="233">
        <f t="shared" si="3"/>
        <v>60000</v>
      </c>
      <c r="H41" s="232"/>
    </row>
    <row r="42" spans="2:8">
      <c r="B42" s="239">
        <v>8</v>
      </c>
      <c r="C42" s="240" t="s">
        <v>666</v>
      </c>
      <c r="D42" s="239"/>
      <c r="E42" s="239">
        <v>1</v>
      </c>
      <c r="F42" s="233">
        <v>110000</v>
      </c>
      <c r="G42" s="233">
        <f t="shared" si="3"/>
        <v>110000</v>
      </c>
      <c r="H42" s="232"/>
    </row>
    <row r="43" spans="2:8">
      <c r="B43" s="239">
        <v>9</v>
      </c>
      <c r="C43" s="240" t="s">
        <v>667</v>
      </c>
      <c r="D43" s="239"/>
      <c r="E43" s="239">
        <v>2</v>
      </c>
      <c r="F43" s="233">
        <v>325000</v>
      </c>
      <c r="G43" s="233">
        <f t="shared" si="3"/>
        <v>650000</v>
      </c>
      <c r="H43" s="232"/>
    </row>
    <row r="44" spans="2:8">
      <c r="B44" s="239">
        <v>10</v>
      </c>
      <c r="C44" s="240" t="s">
        <v>666</v>
      </c>
      <c r="D44" s="239"/>
      <c r="E44" s="239">
        <v>1</v>
      </c>
      <c r="F44" s="233">
        <v>110000</v>
      </c>
      <c r="G44" s="233">
        <f t="shared" si="3"/>
        <v>110000</v>
      </c>
      <c r="H44" s="232"/>
    </row>
    <row r="45" spans="2:8">
      <c r="B45" s="239">
        <v>11</v>
      </c>
      <c r="C45" s="240" t="s">
        <v>668</v>
      </c>
      <c r="D45" s="239"/>
      <c r="E45" s="239">
        <v>1</v>
      </c>
      <c r="F45" s="233">
        <v>1030000</v>
      </c>
      <c r="G45" s="233">
        <f t="shared" si="3"/>
        <v>1030000</v>
      </c>
      <c r="H45" s="232"/>
    </row>
    <row r="46" spans="2:8">
      <c r="B46" s="239">
        <v>12</v>
      </c>
      <c r="C46" s="240" t="s">
        <v>669</v>
      </c>
      <c r="D46" s="239"/>
      <c r="E46" s="239">
        <v>1</v>
      </c>
      <c r="F46" s="395">
        <v>200000</v>
      </c>
      <c r="G46" s="233">
        <f t="shared" si="3"/>
        <v>200000</v>
      </c>
      <c r="H46" s="232"/>
    </row>
    <row r="47" spans="2:8">
      <c r="B47" s="239">
        <v>13</v>
      </c>
      <c r="C47" s="240" t="s">
        <v>670</v>
      </c>
      <c r="D47" s="239"/>
      <c r="E47" s="239">
        <v>6</v>
      </c>
      <c r="F47" s="395">
        <v>25000</v>
      </c>
      <c r="G47" s="233">
        <f t="shared" si="3"/>
        <v>150000</v>
      </c>
      <c r="H47" s="232"/>
    </row>
    <row r="48" spans="2:8">
      <c r="B48" s="239">
        <v>14</v>
      </c>
      <c r="C48" s="240" t="s">
        <v>671</v>
      </c>
      <c r="D48" s="239"/>
      <c r="E48" s="239">
        <v>2</v>
      </c>
      <c r="F48" s="395">
        <v>65000</v>
      </c>
      <c r="G48" s="233">
        <f t="shared" si="3"/>
        <v>130000</v>
      </c>
      <c r="H48" s="232"/>
    </row>
    <row r="49" spans="2:8">
      <c r="B49" s="239">
        <v>15</v>
      </c>
      <c r="C49" s="240" t="s">
        <v>672</v>
      </c>
      <c r="D49" s="239"/>
      <c r="E49" s="239">
        <v>1</v>
      </c>
      <c r="F49" s="395">
        <v>550000</v>
      </c>
      <c r="G49" s="233">
        <f t="shared" si="3"/>
        <v>550000</v>
      </c>
      <c r="H49" s="232"/>
    </row>
    <row r="50" spans="2:8">
      <c r="B50" s="239">
        <v>16</v>
      </c>
      <c r="C50" s="240" t="s">
        <v>673</v>
      </c>
      <c r="D50" s="239"/>
      <c r="E50" s="239">
        <v>2</v>
      </c>
      <c r="F50" s="395">
        <v>290000</v>
      </c>
      <c r="G50" s="233">
        <f t="shared" si="3"/>
        <v>580000</v>
      </c>
      <c r="H50" s="232"/>
    </row>
    <row r="51" spans="2:8">
      <c r="B51" s="239">
        <v>17</v>
      </c>
      <c r="C51" s="240" t="s">
        <v>674</v>
      </c>
      <c r="D51" s="239"/>
      <c r="E51" s="239">
        <v>1</v>
      </c>
      <c r="F51" s="395">
        <v>230000</v>
      </c>
      <c r="G51" s="233">
        <f t="shared" si="3"/>
        <v>230000</v>
      </c>
      <c r="H51" s="232"/>
    </row>
    <row r="52" spans="2:8">
      <c r="B52" s="239">
        <v>18</v>
      </c>
      <c r="C52" s="240" t="s">
        <v>675</v>
      </c>
      <c r="D52" s="239"/>
      <c r="E52" s="239">
        <v>1</v>
      </c>
      <c r="F52" s="395">
        <v>290000</v>
      </c>
      <c r="G52" s="233">
        <f t="shared" si="3"/>
        <v>290000</v>
      </c>
      <c r="H52" s="232"/>
    </row>
    <row r="53" spans="2:8">
      <c r="B53" s="239">
        <v>19</v>
      </c>
      <c r="C53" s="240" t="s">
        <v>676</v>
      </c>
      <c r="D53" s="239"/>
      <c r="E53" s="239">
        <v>1</v>
      </c>
      <c r="F53" s="395">
        <v>750000</v>
      </c>
      <c r="G53" s="233">
        <f t="shared" si="3"/>
        <v>750000</v>
      </c>
      <c r="H53" s="232"/>
    </row>
    <row r="54" spans="2:8">
      <c r="B54" s="239">
        <v>20</v>
      </c>
      <c r="C54" s="240" t="s">
        <v>677</v>
      </c>
      <c r="D54" s="239"/>
      <c r="E54" s="239">
        <v>1</v>
      </c>
      <c r="F54" s="395">
        <v>190000</v>
      </c>
      <c r="G54" s="233">
        <f t="shared" si="3"/>
        <v>190000</v>
      </c>
      <c r="H54" s="232"/>
    </row>
    <row r="55" spans="2:8">
      <c r="B55" s="239">
        <v>21</v>
      </c>
      <c r="C55" s="240" t="s">
        <v>678</v>
      </c>
      <c r="D55" s="239"/>
      <c r="E55" s="239">
        <v>1</v>
      </c>
      <c r="F55" s="395">
        <v>370000</v>
      </c>
      <c r="G55" s="233">
        <f t="shared" si="3"/>
        <v>370000</v>
      </c>
      <c r="H55" s="232"/>
    </row>
    <row r="56" spans="2:8">
      <c r="B56" s="239">
        <v>22</v>
      </c>
      <c r="C56" s="240" t="s">
        <v>679</v>
      </c>
      <c r="D56" s="239"/>
      <c r="E56" s="239">
        <v>4</v>
      </c>
      <c r="F56" s="395">
        <v>200000</v>
      </c>
      <c r="G56" s="233">
        <f t="shared" si="3"/>
        <v>800000</v>
      </c>
      <c r="H56" s="232"/>
    </row>
    <row r="57" spans="2:8">
      <c r="B57" s="239">
        <v>23</v>
      </c>
      <c r="C57" s="240" t="s">
        <v>680</v>
      </c>
      <c r="D57" s="239"/>
      <c r="E57" s="239">
        <v>32</v>
      </c>
      <c r="F57" s="395">
        <v>15000</v>
      </c>
      <c r="G57" s="233">
        <f t="shared" si="3"/>
        <v>480000</v>
      </c>
      <c r="H57" s="232"/>
    </row>
    <row r="58" spans="2:8">
      <c r="B58" s="239">
        <v>24</v>
      </c>
      <c r="C58" s="240" t="s">
        <v>681</v>
      </c>
      <c r="D58" s="239"/>
      <c r="E58" s="239">
        <v>4</v>
      </c>
      <c r="F58" s="395">
        <v>20000</v>
      </c>
      <c r="G58" s="233">
        <f t="shared" si="3"/>
        <v>80000</v>
      </c>
      <c r="H58" s="232"/>
    </row>
    <row r="59" spans="2:8">
      <c r="B59" s="239">
        <v>25</v>
      </c>
      <c r="C59" s="240" t="s">
        <v>682</v>
      </c>
      <c r="D59" s="239"/>
      <c r="E59" s="239">
        <v>1</v>
      </c>
      <c r="F59" s="395">
        <v>450000</v>
      </c>
      <c r="G59" s="233">
        <f t="shared" si="3"/>
        <v>450000</v>
      </c>
      <c r="H59" s="232"/>
    </row>
    <row r="60" spans="2:8">
      <c r="B60" s="239">
        <v>26</v>
      </c>
      <c r="C60" s="240" t="s">
        <v>683</v>
      </c>
      <c r="D60" s="239"/>
      <c r="E60" s="239">
        <v>1</v>
      </c>
      <c r="F60" s="395">
        <v>1370000</v>
      </c>
      <c r="G60" s="233">
        <f t="shared" si="3"/>
        <v>1370000</v>
      </c>
      <c r="H60" s="232"/>
    </row>
    <row r="61" spans="2:8">
      <c r="B61" s="239">
        <v>27</v>
      </c>
      <c r="C61" s="240" t="s">
        <v>684</v>
      </c>
      <c r="D61" s="239"/>
      <c r="E61" s="239">
        <v>6</v>
      </c>
      <c r="F61" s="395">
        <v>25000</v>
      </c>
      <c r="G61" s="233">
        <f t="shared" si="3"/>
        <v>150000</v>
      </c>
      <c r="H61" s="232"/>
    </row>
    <row r="62" spans="2:8">
      <c r="B62" s="239">
        <v>28</v>
      </c>
      <c r="C62" s="240" t="s">
        <v>667</v>
      </c>
      <c r="D62" s="239"/>
      <c r="E62" s="239">
        <v>1</v>
      </c>
      <c r="F62" s="395">
        <v>340000</v>
      </c>
      <c r="G62" s="233">
        <f t="shared" si="3"/>
        <v>340000</v>
      </c>
      <c r="H62" s="232"/>
    </row>
    <row r="63" spans="2:8">
      <c r="B63" s="239">
        <v>29</v>
      </c>
      <c r="C63" s="240" t="s">
        <v>685</v>
      </c>
      <c r="D63" s="239"/>
      <c r="E63" s="239">
        <v>1</v>
      </c>
      <c r="F63" s="395">
        <v>270000</v>
      </c>
      <c r="G63" s="233">
        <f t="shared" si="3"/>
        <v>270000</v>
      </c>
      <c r="H63" s="232"/>
    </row>
    <row r="64" spans="2:8">
      <c r="B64" s="239">
        <v>30</v>
      </c>
      <c r="C64" s="240" t="s">
        <v>686</v>
      </c>
      <c r="D64" s="239"/>
      <c r="E64" s="239">
        <v>1</v>
      </c>
      <c r="F64" s="395">
        <v>440000</v>
      </c>
      <c r="G64" s="233">
        <f t="shared" si="3"/>
        <v>440000</v>
      </c>
      <c r="H64" s="232"/>
    </row>
    <row r="65" spans="2:8" ht="15" customHeight="1">
      <c r="B65" s="239">
        <v>31</v>
      </c>
      <c r="C65" s="240" t="s">
        <v>687</v>
      </c>
      <c r="D65" s="235"/>
      <c r="E65" s="239">
        <v>1</v>
      </c>
      <c r="F65" s="395">
        <v>600000</v>
      </c>
      <c r="G65" s="233">
        <f t="shared" si="3"/>
        <v>600000</v>
      </c>
      <c r="H65" s="238">
        <f>SUM(H34:H64)</f>
        <v>0</v>
      </c>
    </row>
    <row r="66" spans="2:8">
      <c r="B66" s="239">
        <v>32</v>
      </c>
      <c r="C66" s="240" t="s">
        <v>688</v>
      </c>
      <c r="D66" s="239"/>
      <c r="E66" s="239">
        <v>1</v>
      </c>
      <c r="F66" s="233">
        <v>1150000</v>
      </c>
      <c r="G66" s="233">
        <f t="shared" si="3"/>
        <v>1150000</v>
      </c>
      <c r="H66" s="232"/>
    </row>
    <row r="67" spans="2:8">
      <c r="B67" s="239">
        <v>33</v>
      </c>
      <c r="C67" s="240" t="s">
        <v>689</v>
      </c>
      <c r="D67" s="239"/>
      <c r="E67" s="239">
        <v>1</v>
      </c>
      <c r="F67" s="233">
        <v>450000</v>
      </c>
      <c r="G67" s="233">
        <f t="shared" si="3"/>
        <v>450000</v>
      </c>
      <c r="H67" s="232"/>
    </row>
    <row r="68" spans="2:8">
      <c r="B68" s="239">
        <v>34</v>
      </c>
      <c r="C68" s="240" t="s">
        <v>690</v>
      </c>
      <c r="D68" s="239"/>
      <c r="E68" s="239">
        <v>1</v>
      </c>
      <c r="F68" s="233">
        <v>2500000</v>
      </c>
      <c r="G68" s="233">
        <f t="shared" si="3"/>
        <v>2500000</v>
      </c>
      <c r="H68" s="232"/>
    </row>
    <row r="69" spans="2:8">
      <c r="B69" s="239">
        <v>35</v>
      </c>
      <c r="C69" s="240" t="s">
        <v>691</v>
      </c>
      <c r="D69" s="240"/>
      <c r="E69" s="239">
        <v>1</v>
      </c>
      <c r="F69" s="233">
        <v>550000</v>
      </c>
      <c r="G69" s="233">
        <f t="shared" si="3"/>
        <v>550000</v>
      </c>
      <c r="H69" s="232"/>
    </row>
    <row r="70" spans="2:8">
      <c r="B70" s="239">
        <v>36</v>
      </c>
      <c r="C70" s="240" t="s">
        <v>692</v>
      </c>
      <c r="D70" s="240"/>
      <c r="E70" s="239">
        <v>1</v>
      </c>
      <c r="F70" s="233">
        <v>330000</v>
      </c>
      <c r="G70" s="233">
        <f t="shared" si="3"/>
        <v>330000</v>
      </c>
      <c r="H70" s="232"/>
    </row>
    <row r="71" spans="2:8">
      <c r="B71" s="239">
        <v>37</v>
      </c>
      <c r="C71" s="240" t="s">
        <v>693</v>
      </c>
      <c r="D71" s="240"/>
      <c r="E71" s="239">
        <v>1</v>
      </c>
      <c r="F71" s="233">
        <v>370000</v>
      </c>
      <c r="G71" s="233">
        <f t="shared" si="3"/>
        <v>370000</v>
      </c>
      <c r="H71" s="232"/>
    </row>
    <row r="72" spans="2:8">
      <c r="B72" s="239">
        <v>38</v>
      </c>
      <c r="C72" s="240" t="s">
        <v>694</v>
      </c>
      <c r="D72" s="240"/>
      <c r="E72" s="239">
        <v>1</v>
      </c>
      <c r="F72" s="233">
        <v>850000</v>
      </c>
      <c r="G72" s="233">
        <f t="shared" si="3"/>
        <v>850000</v>
      </c>
      <c r="H72" s="232"/>
    </row>
    <row r="73" spans="2:8">
      <c r="B73" s="239">
        <v>39</v>
      </c>
      <c r="C73" s="240" t="s">
        <v>695</v>
      </c>
      <c r="D73" s="240"/>
      <c r="E73" s="239">
        <v>1</v>
      </c>
      <c r="F73" s="233">
        <v>400000</v>
      </c>
      <c r="G73" s="233">
        <f t="shared" si="3"/>
        <v>400000</v>
      </c>
      <c r="H73" s="232"/>
    </row>
    <row r="74" spans="2:8">
      <c r="B74" s="239">
        <v>40</v>
      </c>
      <c r="C74" s="240" t="s">
        <v>696</v>
      </c>
      <c r="D74" s="240"/>
      <c r="E74" s="239">
        <v>1</v>
      </c>
      <c r="F74" s="233">
        <v>950000</v>
      </c>
      <c r="G74" s="233">
        <f t="shared" si="3"/>
        <v>950000</v>
      </c>
      <c r="H74" s="232"/>
    </row>
    <row r="75" spans="2:8">
      <c r="B75" s="239">
        <v>41</v>
      </c>
      <c r="C75" s="240" t="s">
        <v>697</v>
      </c>
      <c r="D75" s="240"/>
      <c r="E75" s="239">
        <v>1</v>
      </c>
      <c r="F75" s="233">
        <v>570000</v>
      </c>
      <c r="G75" s="233">
        <f t="shared" si="3"/>
        <v>570000</v>
      </c>
      <c r="H75" s="232"/>
    </row>
    <row r="76" spans="2:8">
      <c r="B76" s="239">
        <v>42</v>
      </c>
      <c r="C76" s="240" t="s">
        <v>698</v>
      </c>
      <c r="D76" s="240"/>
      <c r="E76" s="239">
        <v>1</v>
      </c>
      <c r="F76" s="233">
        <v>450000</v>
      </c>
      <c r="G76" s="233">
        <f t="shared" si="3"/>
        <v>450000</v>
      </c>
      <c r="H76" s="232"/>
    </row>
    <row r="77" spans="2:8">
      <c r="B77" s="239">
        <v>43</v>
      </c>
      <c r="C77" s="240" t="s">
        <v>699</v>
      </c>
      <c r="D77" s="240"/>
      <c r="E77" s="239">
        <v>1</v>
      </c>
      <c r="F77" s="233">
        <v>570000</v>
      </c>
      <c r="G77" s="233">
        <f t="shared" si="3"/>
        <v>570000</v>
      </c>
      <c r="H77" s="232"/>
    </row>
    <row r="78" spans="2:8">
      <c r="B78" s="239">
        <v>44</v>
      </c>
      <c r="C78" s="240" t="s">
        <v>700</v>
      </c>
      <c r="D78" s="240"/>
      <c r="E78" s="239">
        <v>1</v>
      </c>
      <c r="F78" s="233">
        <v>1200000</v>
      </c>
      <c r="G78" s="233">
        <f t="shared" si="3"/>
        <v>1200000</v>
      </c>
      <c r="H78" s="232"/>
    </row>
    <row r="79" spans="2:8">
      <c r="B79" s="239">
        <v>45</v>
      </c>
      <c r="C79" s="240" t="s">
        <v>701</v>
      </c>
      <c r="D79" s="240"/>
      <c r="E79" s="239">
        <v>1</v>
      </c>
      <c r="F79" s="233">
        <v>650000</v>
      </c>
      <c r="G79" s="233">
        <f t="shared" si="3"/>
        <v>650000</v>
      </c>
      <c r="H79" s="232"/>
    </row>
    <row r="80" spans="2:8" ht="15" customHeight="1">
      <c r="B80" s="239">
        <v>46</v>
      </c>
      <c r="C80" s="240" t="s">
        <v>702</v>
      </c>
      <c r="D80" s="240"/>
      <c r="E80" s="239">
        <v>1</v>
      </c>
      <c r="F80" s="233">
        <v>4374342</v>
      </c>
      <c r="G80" s="233">
        <f t="shared" si="3"/>
        <v>4374342</v>
      </c>
      <c r="H80" s="233">
        <f>SUM(H67:H79)</f>
        <v>0</v>
      </c>
    </row>
    <row r="81" spans="2:11" ht="30">
      <c r="B81" s="239">
        <v>47</v>
      </c>
      <c r="C81" s="240" t="s">
        <v>718</v>
      </c>
      <c r="D81" s="240"/>
      <c r="E81" s="239">
        <v>1</v>
      </c>
      <c r="F81" s="233">
        <v>649000</v>
      </c>
      <c r="G81" s="233">
        <f t="shared" si="3"/>
        <v>649000</v>
      </c>
      <c r="H81" s="233"/>
      <c r="J81" s="22">
        <f>G81*18%</f>
        <v>116820</v>
      </c>
    </row>
    <row r="82" spans="2:11" ht="15" customHeight="1">
      <c r="B82" s="239">
        <v>48</v>
      </c>
      <c r="C82" s="240" t="s">
        <v>719</v>
      </c>
      <c r="D82" s="240"/>
      <c r="E82" s="239">
        <v>1</v>
      </c>
      <c r="F82" s="233">
        <v>772900</v>
      </c>
      <c r="G82" s="233">
        <f t="shared" si="3"/>
        <v>772900</v>
      </c>
      <c r="H82" s="233"/>
      <c r="J82" s="22">
        <f>G82*18%</f>
        <v>139122</v>
      </c>
    </row>
    <row r="83" spans="2:11" ht="15" customHeight="1">
      <c r="B83" s="239">
        <v>49</v>
      </c>
      <c r="C83" s="240" t="s">
        <v>725</v>
      </c>
      <c r="D83" s="240"/>
      <c r="E83" s="239">
        <v>1</v>
      </c>
      <c r="F83" s="233">
        <v>1711000</v>
      </c>
      <c r="G83" s="233">
        <f t="shared" si="3"/>
        <v>1711000</v>
      </c>
      <c r="H83" s="233"/>
    </row>
    <row r="84" spans="2:11" ht="15" customHeight="1">
      <c r="B84" s="239"/>
      <c r="C84" s="240"/>
      <c r="D84" s="240"/>
      <c r="E84" s="239"/>
      <c r="F84" s="233"/>
      <c r="G84" s="238">
        <f>SUM(G34:G83)</f>
        <v>32237242</v>
      </c>
      <c r="H84" s="233"/>
    </row>
    <row r="85" spans="2:11" ht="15" customHeight="1">
      <c r="B85" s="239"/>
      <c r="C85" s="240"/>
      <c r="D85" s="240"/>
      <c r="E85" s="239"/>
      <c r="F85" s="233"/>
      <c r="G85" s="233"/>
      <c r="H85" s="233"/>
    </row>
    <row r="86" spans="2:11">
      <c r="B86" s="235"/>
      <c r="C86" s="235"/>
      <c r="D86" s="240"/>
      <c r="E86" s="239"/>
      <c r="F86" s="233"/>
      <c r="G86" s="233"/>
      <c r="H86" s="233"/>
    </row>
    <row r="87" spans="2:11">
      <c r="B87" s="235" t="s">
        <v>141</v>
      </c>
      <c r="C87" s="235" t="s">
        <v>491</v>
      </c>
      <c r="D87" s="240"/>
      <c r="E87" s="239"/>
      <c r="F87" s="233"/>
      <c r="G87" s="233">
        <f>E87*F87</f>
        <v>0</v>
      </c>
      <c r="H87" s="233"/>
    </row>
    <row r="88" spans="2:11">
      <c r="B88" s="235"/>
      <c r="C88" s="235"/>
      <c r="D88" s="240"/>
      <c r="E88" s="239"/>
      <c r="F88" s="233"/>
      <c r="G88" s="233">
        <f t="shared" ref="G88:G90" si="4">E88*F88</f>
        <v>0</v>
      </c>
      <c r="H88" s="233"/>
    </row>
    <row r="89" spans="2:11">
      <c r="B89" s="235"/>
      <c r="C89" s="235"/>
      <c r="D89" s="240"/>
      <c r="E89" s="239"/>
      <c r="F89" s="233"/>
      <c r="G89" s="233">
        <f t="shared" si="4"/>
        <v>0</v>
      </c>
      <c r="H89" s="233"/>
    </row>
    <row r="90" spans="2:11">
      <c r="B90" s="235"/>
      <c r="C90" s="234"/>
      <c r="D90" s="240"/>
      <c r="E90" s="239"/>
      <c r="F90" s="233"/>
      <c r="G90" s="233">
        <f t="shared" si="4"/>
        <v>0</v>
      </c>
      <c r="H90" s="232"/>
    </row>
    <row r="91" spans="2:11">
      <c r="B91" s="429" t="s">
        <v>136</v>
      </c>
      <c r="C91" s="429"/>
      <c r="D91" s="240"/>
      <c r="E91" s="239"/>
      <c r="F91" s="233"/>
      <c r="G91" s="233">
        <f>SUM(G87:G90)</f>
        <v>0</v>
      </c>
      <c r="H91" s="233">
        <f>SUM(H87:H90)</f>
        <v>0</v>
      </c>
    </row>
    <row r="92" spans="2:11">
      <c r="B92" s="239"/>
      <c r="C92" s="240"/>
      <c r="D92" s="240"/>
      <c r="E92" s="239"/>
      <c r="F92" s="233"/>
      <c r="G92" s="233"/>
      <c r="H92" s="232"/>
    </row>
    <row r="93" spans="2:11">
      <c r="B93" s="428" t="s">
        <v>1</v>
      </c>
      <c r="C93" s="428"/>
      <c r="D93" s="428"/>
      <c r="E93" s="428"/>
      <c r="F93" s="428"/>
      <c r="G93" s="227">
        <f>G84+G32+G91</f>
        <v>32237242</v>
      </c>
      <c r="H93" s="227">
        <f>H65+H21+H80+H91</f>
        <v>0</v>
      </c>
    </row>
    <row r="94" spans="2:11">
      <c r="B94" s="19"/>
      <c r="G94" s="18"/>
    </row>
    <row r="95" spans="2:11">
      <c r="B95" s="402" t="s">
        <v>374</v>
      </c>
      <c r="C95" s="402"/>
      <c r="D95" s="402"/>
      <c r="E95" s="402"/>
      <c r="F95" s="402"/>
      <c r="G95" s="402"/>
      <c r="H95" s="402"/>
    </row>
    <row r="96" spans="2:11">
      <c r="B96" s="19"/>
      <c r="G96" s="18"/>
      <c r="I96" s="19"/>
      <c r="J96" s="19"/>
      <c r="K96" s="20"/>
    </row>
    <row r="99" spans="1:7" ht="18.75">
      <c r="A99">
        <v>2.2999999999999998</v>
      </c>
      <c r="B99" s="425" t="s">
        <v>334</v>
      </c>
      <c r="C99" s="425"/>
      <c r="D99" s="425"/>
      <c r="E99" s="425"/>
      <c r="F99" s="425"/>
    </row>
    <row r="101" spans="1:7" ht="30">
      <c r="B101" s="23" t="s">
        <v>110</v>
      </c>
      <c r="C101" s="57" t="s">
        <v>92</v>
      </c>
      <c r="D101" s="57" t="s">
        <v>117</v>
      </c>
      <c r="E101" s="57" t="s">
        <v>118</v>
      </c>
      <c r="F101" s="57" t="s">
        <v>123</v>
      </c>
    </row>
    <row r="102" spans="1:7">
      <c r="B102" s="241">
        <v>1</v>
      </c>
      <c r="C102" s="265"/>
      <c r="D102" s="241"/>
      <c r="E102" s="242"/>
      <c r="F102" s="243">
        <f t="shared" ref="F102:F107" si="5">D102*E102</f>
        <v>0</v>
      </c>
    </row>
    <row r="103" spans="1:7">
      <c r="B103" s="241"/>
      <c r="C103" s="265"/>
      <c r="D103" s="241"/>
      <c r="E103" s="242"/>
      <c r="F103" s="243">
        <f t="shared" si="5"/>
        <v>0</v>
      </c>
    </row>
    <row r="104" spans="1:7">
      <c r="B104" s="241"/>
      <c r="C104" s="265"/>
      <c r="D104" s="241"/>
      <c r="E104" s="242"/>
      <c r="F104" s="243">
        <f t="shared" si="5"/>
        <v>0</v>
      </c>
    </row>
    <row r="105" spans="1:7">
      <c r="B105" s="241"/>
      <c r="C105" s="265"/>
      <c r="D105" s="241"/>
      <c r="E105" s="242"/>
      <c r="F105" s="243">
        <f t="shared" si="5"/>
        <v>0</v>
      </c>
    </row>
    <row r="106" spans="1:7">
      <c r="B106" s="241"/>
      <c r="C106" s="265"/>
      <c r="D106" s="241"/>
      <c r="E106" s="242"/>
      <c r="F106" s="243">
        <f t="shared" si="5"/>
        <v>0</v>
      </c>
    </row>
    <row r="107" spans="1:7">
      <c r="B107" s="241"/>
      <c r="C107" s="265"/>
      <c r="D107" s="241"/>
      <c r="E107" s="242"/>
      <c r="F107" s="243">
        <f t="shared" si="5"/>
        <v>0</v>
      </c>
    </row>
    <row r="108" spans="1:7">
      <c r="B108" s="434" t="s">
        <v>1</v>
      </c>
      <c r="C108" s="434"/>
      <c r="D108" s="434"/>
      <c r="E108" s="434"/>
      <c r="F108" s="21">
        <f>SUM(F102:F107)</f>
        <v>0</v>
      </c>
    </row>
    <row r="110" spans="1:7">
      <c r="A110" s="402" t="s">
        <v>375</v>
      </c>
      <c r="B110" s="402"/>
      <c r="C110" s="402"/>
      <c r="D110" s="402"/>
      <c r="E110" s="402"/>
      <c r="F110" s="402"/>
      <c r="G110" s="402"/>
    </row>
    <row r="113" spans="1:7" ht="18.75">
      <c r="A113">
        <v>2.4</v>
      </c>
      <c r="B113" s="425" t="s">
        <v>333</v>
      </c>
      <c r="C113" s="425"/>
      <c r="D113" s="425"/>
      <c r="E113" s="425"/>
      <c r="F113" s="425"/>
    </row>
    <row r="115" spans="1:7" ht="30">
      <c r="B115" s="23" t="s">
        <v>110</v>
      </c>
      <c r="C115" s="61" t="s">
        <v>92</v>
      </c>
      <c r="D115" s="61" t="s">
        <v>117</v>
      </c>
      <c r="E115" s="61" t="s">
        <v>118</v>
      </c>
      <c r="F115" s="61" t="s">
        <v>123</v>
      </c>
    </row>
    <row r="116" spans="1:7">
      <c r="B116" s="241">
        <v>1</v>
      </c>
      <c r="C116" s="265"/>
      <c r="D116" s="241"/>
      <c r="E116" s="242"/>
      <c r="F116" s="243">
        <f t="shared" ref="F116:F121" si="6">D116*E116</f>
        <v>0</v>
      </c>
    </row>
    <row r="117" spans="1:7">
      <c r="B117" s="241"/>
      <c r="C117" s="265"/>
      <c r="D117" s="241"/>
      <c r="E117" s="242"/>
      <c r="F117" s="243">
        <f t="shared" si="6"/>
        <v>0</v>
      </c>
    </row>
    <row r="118" spans="1:7">
      <c r="B118" s="241"/>
      <c r="C118" s="265"/>
      <c r="D118" s="241"/>
      <c r="E118" s="242"/>
      <c r="F118" s="243">
        <f t="shared" si="6"/>
        <v>0</v>
      </c>
    </row>
    <row r="119" spans="1:7">
      <c r="B119" s="241"/>
      <c r="C119" s="265"/>
      <c r="D119" s="241"/>
      <c r="E119" s="242"/>
      <c r="F119" s="243">
        <f t="shared" si="6"/>
        <v>0</v>
      </c>
    </row>
    <row r="120" spans="1:7">
      <c r="B120" s="241"/>
      <c r="C120" s="265"/>
      <c r="D120" s="241"/>
      <c r="E120" s="242"/>
      <c r="F120" s="243">
        <f t="shared" si="6"/>
        <v>0</v>
      </c>
    </row>
    <row r="121" spans="1:7">
      <c r="B121" s="241"/>
      <c r="C121" s="265"/>
      <c r="D121" s="241"/>
      <c r="E121" s="242"/>
      <c r="F121" s="243">
        <f t="shared" si="6"/>
        <v>0</v>
      </c>
    </row>
    <row r="122" spans="1:7">
      <c r="B122" s="434" t="s">
        <v>1</v>
      </c>
      <c r="C122" s="434"/>
      <c r="D122" s="434"/>
      <c r="E122" s="434"/>
      <c r="F122" s="21">
        <f>SUM(F116:F121)</f>
        <v>0</v>
      </c>
    </row>
    <row r="124" spans="1:7">
      <c r="A124" s="402" t="s">
        <v>375</v>
      </c>
      <c r="B124" s="402"/>
      <c r="C124" s="402"/>
      <c r="D124" s="402"/>
      <c r="E124" s="402"/>
      <c r="F124" s="402"/>
      <c r="G124" s="402"/>
    </row>
    <row r="127" spans="1:7" ht="18.75">
      <c r="A127">
        <v>2.5</v>
      </c>
      <c r="B127" s="425" t="s">
        <v>597</v>
      </c>
      <c r="C127" s="425"/>
      <c r="D127" s="425"/>
      <c r="E127" s="425"/>
      <c r="F127" s="425"/>
    </row>
    <row r="129" spans="1:7" ht="28.5">
      <c r="B129" s="213" t="s">
        <v>110</v>
      </c>
      <c r="C129" s="214" t="s">
        <v>92</v>
      </c>
      <c r="D129" s="214" t="s">
        <v>117</v>
      </c>
      <c r="E129" s="214" t="s">
        <v>118</v>
      </c>
      <c r="F129" s="214" t="s">
        <v>123</v>
      </c>
    </row>
    <row r="130" spans="1:7">
      <c r="B130" s="239"/>
      <c r="C130" s="240"/>
      <c r="D130" s="239"/>
      <c r="E130" s="244"/>
      <c r="F130" s="233"/>
    </row>
    <row r="131" spans="1:7">
      <c r="B131" s="239"/>
      <c r="C131" s="240"/>
      <c r="D131" s="239"/>
      <c r="E131" s="244"/>
      <c r="F131" s="233">
        <f>E131*D131</f>
        <v>0</v>
      </c>
    </row>
    <row r="132" spans="1:7">
      <c r="B132" s="239"/>
      <c r="C132" s="240"/>
      <c r="D132" s="239"/>
      <c r="E132" s="244"/>
      <c r="F132" s="233">
        <f>E132*D132</f>
        <v>0</v>
      </c>
    </row>
    <row r="133" spans="1:7">
      <c r="B133" s="428" t="s">
        <v>1</v>
      </c>
      <c r="C133" s="428"/>
      <c r="D133" s="428"/>
      <c r="E133" s="428"/>
      <c r="F133" s="216">
        <f>SUM(F130:F132)</f>
        <v>0</v>
      </c>
    </row>
    <row r="134" spans="1:7">
      <c r="A134" s="433" t="s">
        <v>412</v>
      </c>
      <c r="B134" s="433"/>
      <c r="C134" s="433"/>
      <c r="D134" s="433"/>
      <c r="E134" s="433"/>
      <c r="F134" s="433"/>
      <c r="G134" s="433"/>
    </row>
    <row r="137" spans="1:7" ht="18.75">
      <c r="A137">
        <v>2.6</v>
      </c>
      <c r="B137" s="425" t="s">
        <v>209</v>
      </c>
      <c r="C137" s="425"/>
      <c r="D137" s="425"/>
    </row>
    <row r="138" spans="1:7" ht="15.75" thickBot="1"/>
    <row r="139" spans="1:7" ht="29.25" thickBot="1">
      <c r="B139" s="225" t="s">
        <v>110</v>
      </c>
      <c r="C139" s="226" t="s">
        <v>92</v>
      </c>
      <c r="D139" s="226" t="s">
        <v>332</v>
      </c>
    </row>
    <row r="140" spans="1:7" ht="15.75" thickBot="1">
      <c r="B140" s="266">
        <v>1</v>
      </c>
      <c r="C140" s="267" t="s">
        <v>703</v>
      </c>
      <c r="D140" s="245">
        <v>73600</v>
      </c>
    </row>
    <row r="141" spans="1:7" ht="15.75" thickBot="1">
      <c r="B141" s="266">
        <v>2</v>
      </c>
      <c r="C141" s="267" t="s">
        <v>704</v>
      </c>
      <c r="D141" s="245">
        <v>80000</v>
      </c>
    </row>
    <row r="142" spans="1:7" ht="15.75" thickBot="1">
      <c r="B142" s="266">
        <v>3</v>
      </c>
      <c r="C142" s="267" t="s">
        <v>705</v>
      </c>
      <c r="D142" s="245">
        <v>230000</v>
      </c>
    </row>
    <row r="143" spans="1:7" ht="15.75" thickBot="1">
      <c r="B143" s="266"/>
      <c r="C143" s="267"/>
      <c r="D143" s="245"/>
    </row>
    <row r="144" spans="1:7" ht="15.75" thickBot="1">
      <c r="B144" s="266"/>
      <c r="C144" s="267"/>
      <c r="D144" s="245"/>
    </row>
    <row r="145" spans="1:5" ht="15.75" thickBot="1">
      <c r="B145" s="430" t="s">
        <v>1</v>
      </c>
      <c r="C145" s="431"/>
      <c r="D145" s="246">
        <f>SUM(D140:D144)</f>
        <v>383600</v>
      </c>
    </row>
    <row r="147" spans="1:5" ht="26.1" customHeight="1">
      <c r="A147" s="432" t="s">
        <v>413</v>
      </c>
      <c r="B147" s="432"/>
      <c r="C147" s="432"/>
      <c r="D147" s="432"/>
      <c r="E147" s="432"/>
    </row>
  </sheetData>
  <mergeCells count="20">
    <mergeCell ref="B145:C145"/>
    <mergeCell ref="A147:E147"/>
    <mergeCell ref="B91:C91"/>
    <mergeCell ref="A124:G124"/>
    <mergeCell ref="B133:E133"/>
    <mergeCell ref="B127:F127"/>
    <mergeCell ref="A134:G134"/>
    <mergeCell ref="B137:D137"/>
    <mergeCell ref="B108:E108"/>
    <mergeCell ref="B99:F99"/>
    <mergeCell ref="A110:G110"/>
    <mergeCell ref="B122:E122"/>
    <mergeCell ref="B113:F113"/>
    <mergeCell ref="B12:F12"/>
    <mergeCell ref="B2:G2"/>
    <mergeCell ref="B15:G15"/>
    <mergeCell ref="B95:H95"/>
    <mergeCell ref="B93:F93"/>
    <mergeCell ref="B17:H17"/>
    <mergeCell ref="B32:C32"/>
  </mergeCells>
  <pageMargins left="0.23622047244094491" right="0.23622047244094491" top="0.74803149606299213" bottom="0.74803149606299213" header="0.31496062992125984" footer="0.31496062992125984"/>
  <pageSetup paperSize="9" scale="80" orientation="portrait" r:id="rId1"/>
  <rowBreaks count="1" manualBreakCount="1">
    <brk id="94"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104"/>
  <sheetViews>
    <sheetView view="pageBreakPreview" topLeftCell="A66" zoomScale="80" zoomScaleSheetLayoutView="80" workbookViewId="0">
      <selection activeCell="A83" sqref="A83:J100"/>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7" width="13" bestFit="1" customWidth="1"/>
  </cols>
  <sheetData>
    <row r="2" spans="1:11" ht="18.75">
      <c r="A2" s="423" t="s">
        <v>512</v>
      </c>
      <c r="B2" s="423"/>
      <c r="C2" s="423"/>
      <c r="D2" s="423"/>
      <c r="E2" s="423"/>
      <c r="F2" s="423"/>
      <c r="G2" s="423"/>
      <c r="H2" s="423"/>
      <c r="I2" s="423"/>
      <c r="J2" s="423"/>
      <c r="K2" s="423"/>
    </row>
    <row r="4" spans="1:11">
      <c r="A4" s="94"/>
      <c r="B4" s="94"/>
      <c r="C4" s="94"/>
      <c r="D4" s="94"/>
      <c r="E4" s="179">
        <v>1</v>
      </c>
      <c r="F4" s="184">
        <f>(E4*5%)+E4</f>
        <v>1.05</v>
      </c>
      <c r="G4" s="184">
        <f t="shared" ref="G4:K4" si="0">(F4*5%)+F4</f>
        <v>1.1025</v>
      </c>
      <c r="H4" s="184">
        <f t="shared" si="0"/>
        <v>1.1576250000000001</v>
      </c>
      <c r="I4" s="184">
        <f t="shared" si="0"/>
        <v>1.2155062500000002</v>
      </c>
      <c r="J4" s="184">
        <f t="shared" si="0"/>
        <v>1.2762815625000004</v>
      </c>
      <c r="K4" s="184">
        <f t="shared" si="0"/>
        <v>1.3400956406250004</v>
      </c>
    </row>
    <row r="5" spans="1:11">
      <c r="A5" s="94"/>
      <c r="B5" s="94"/>
      <c r="C5" s="94"/>
      <c r="D5" s="94"/>
      <c r="E5" s="94"/>
      <c r="F5" s="94"/>
      <c r="G5" s="94"/>
      <c r="H5" s="94"/>
      <c r="I5" s="94"/>
      <c r="J5" s="94"/>
      <c r="K5" s="94"/>
    </row>
    <row r="6" spans="1:11">
      <c r="A6" s="148" t="s">
        <v>0</v>
      </c>
      <c r="B6" s="148" t="s">
        <v>97</v>
      </c>
      <c r="C6" s="148" t="s">
        <v>350</v>
      </c>
      <c r="D6" s="148" t="s">
        <v>243</v>
      </c>
      <c r="E6" s="120" t="s">
        <v>2</v>
      </c>
      <c r="F6" s="120" t="s">
        <v>3</v>
      </c>
      <c r="G6" s="120" t="s">
        <v>4</v>
      </c>
      <c r="H6" s="120" t="s">
        <v>5</v>
      </c>
      <c r="I6" s="120" t="s">
        <v>6</v>
      </c>
      <c r="J6" s="120" t="s">
        <v>134</v>
      </c>
      <c r="K6" s="120" t="s">
        <v>133</v>
      </c>
    </row>
    <row r="7" spans="1:11">
      <c r="A7" s="95"/>
      <c r="B7" s="95"/>
      <c r="C7" s="95"/>
      <c r="D7" s="95"/>
      <c r="E7" s="95"/>
      <c r="F7" s="95"/>
      <c r="G7" s="95"/>
      <c r="H7" s="95"/>
      <c r="I7" s="95"/>
      <c r="J7" s="95"/>
      <c r="K7" s="95"/>
    </row>
    <row r="8" spans="1:11">
      <c r="A8" s="95" t="s">
        <v>285</v>
      </c>
      <c r="B8" s="95" t="s">
        <v>351</v>
      </c>
      <c r="C8" s="232">
        <v>1</v>
      </c>
      <c r="D8" s="256">
        <v>20000</v>
      </c>
      <c r="E8" s="96">
        <f>$C8*$D8*12*E$4</f>
        <v>240000</v>
      </c>
      <c r="F8" s="96">
        <f t="shared" ref="F8:K8" si="1">$C8*$D8*12*F$4</f>
        <v>252000</v>
      </c>
      <c r="G8" s="96">
        <f t="shared" si="1"/>
        <v>264600</v>
      </c>
      <c r="H8" s="96">
        <f t="shared" si="1"/>
        <v>277830.00000000006</v>
      </c>
      <c r="I8" s="96">
        <f t="shared" si="1"/>
        <v>291721.50000000006</v>
      </c>
      <c r="J8" s="96">
        <f t="shared" si="1"/>
        <v>306307.57500000007</v>
      </c>
      <c r="K8" s="96">
        <f t="shared" si="1"/>
        <v>321622.9537500001</v>
      </c>
    </row>
    <row r="9" spans="1:11">
      <c r="A9" s="95" t="s">
        <v>154</v>
      </c>
      <c r="B9" s="95" t="s">
        <v>351</v>
      </c>
      <c r="C9" s="232">
        <v>1</v>
      </c>
      <c r="D9" s="256">
        <v>15000</v>
      </c>
      <c r="E9" s="96">
        <f>$C9*$D9*12*E$4</f>
        <v>180000</v>
      </c>
      <c r="F9" s="96">
        <f t="shared" ref="F9:K10" si="2">$C9*$D9*12*F$4</f>
        <v>189000</v>
      </c>
      <c r="G9" s="96">
        <f t="shared" si="2"/>
        <v>198450</v>
      </c>
      <c r="H9" s="96">
        <f t="shared" si="2"/>
        <v>208372.50000000003</v>
      </c>
      <c r="I9" s="96">
        <f t="shared" si="2"/>
        <v>218791.12500000003</v>
      </c>
      <c r="J9" s="96">
        <f t="shared" si="2"/>
        <v>229730.68125000005</v>
      </c>
      <c r="K9" s="96">
        <f t="shared" si="2"/>
        <v>241217.21531250008</v>
      </c>
    </row>
    <row r="10" spans="1:11">
      <c r="A10" s="95" t="s">
        <v>159</v>
      </c>
      <c r="B10" s="95" t="s">
        <v>351</v>
      </c>
      <c r="C10" s="232">
        <v>2</v>
      </c>
      <c r="D10" s="256">
        <v>12000</v>
      </c>
      <c r="E10" s="96">
        <f>$C10*$D10*12*E$4</f>
        <v>288000</v>
      </c>
      <c r="F10" s="96">
        <f t="shared" si="2"/>
        <v>302400</v>
      </c>
      <c r="G10" s="96">
        <f t="shared" si="2"/>
        <v>317520</v>
      </c>
      <c r="H10" s="96">
        <f t="shared" si="2"/>
        <v>333396.00000000006</v>
      </c>
      <c r="I10" s="96">
        <f t="shared" si="2"/>
        <v>350065.80000000005</v>
      </c>
      <c r="J10" s="96">
        <f t="shared" si="2"/>
        <v>367569.09000000008</v>
      </c>
      <c r="K10" s="96">
        <f t="shared" si="2"/>
        <v>385947.54450000013</v>
      </c>
    </row>
    <row r="11" spans="1:11">
      <c r="A11" s="95" t="s">
        <v>95</v>
      </c>
      <c r="B11" s="95" t="s">
        <v>352</v>
      </c>
      <c r="C11" s="95">
        <v>12</v>
      </c>
      <c r="D11" s="256">
        <v>3000</v>
      </c>
      <c r="E11" s="96">
        <f>$C11*$D11*E$4</f>
        <v>36000</v>
      </c>
      <c r="F11" s="96">
        <f t="shared" ref="F11:K15" si="3">$C11*$D11*F$4</f>
        <v>37800</v>
      </c>
      <c r="G11" s="96">
        <f t="shared" si="3"/>
        <v>39690</v>
      </c>
      <c r="H11" s="96">
        <f t="shared" si="3"/>
        <v>41674.500000000007</v>
      </c>
      <c r="I11" s="96">
        <f t="shared" si="3"/>
        <v>43758.225000000006</v>
      </c>
      <c r="J11" s="96">
        <f t="shared" si="3"/>
        <v>45946.13625000001</v>
      </c>
      <c r="K11" s="96">
        <f t="shared" si="3"/>
        <v>48243.443062500017</v>
      </c>
    </row>
    <row r="12" spans="1:11">
      <c r="A12" s="95" t="s">
        <v>10</v>
      </c>
      <c r="B12" s="95" t="s">
        <v>352</v>
      </c>
      <c r="C12" s="95">
        <v>12</v>
      </c>
      <c r="D12" s="256">
        <v>7000</v>
      </c>
      <c r="E12" s="96">
        <f t="shared" ref="E12:E15" si="4">$C12*$D12*E$4</f>
        <v>84000</v>
      </c>
      <c r="F12" s="96">
        <f t="shared" si="3"/>
        <v>88200</v>
      </c>
      <c r="G12" s="96">
        <f t="shared" si="3"/>
        <v>92610</v>
      </c>
      <c r="H12" s="96">
        <f t="shared" si="3"/>
        <v>97240.500000000015</v>
      </c>
      <c r="I12" s="96">
        <f t="shared" si="3"/>
        <v>102102.52500000002</v>
      </c>
      <c r="J12" s="96">
        <f t="shared" si="3"/>
        <v>107207.65125000002</v>
      </c>
      <c r="K12" s="96">
        <f t="shared" si="3"/>
        <v>112568.03381250004</v>
      </c>
    </row>
    <row r="13" spans="1:11">
      <c r="A13" s="95" t="s">
        <v>155</v>
      </c>
      <c r="B13" s="95" t="s">
        <v>352</v>
      </c>
      <c r="C13" s="95">
        <v>12</v>
      </c>
      <c r="D13" s="256">
        <v>3000</v>
      </c>
      <c r="E13" s="96">
        <f t="shared" si="4"/>
        <v>36000</v>
      </c>
      <c r="F13" s="96">
        <f t="shared" si="3"/>
        <v>37800</v>
      </c>
      <c r="G13" s="96">
        <f t="shared" si="3"/>
        <v>39690</v>
      </c>
      <c r="H13" s="96">
        <f t="shared" si="3"/>
        <v>41674.500000000007</v>
      </c>
      <c r="I13" s="96">
        <f t="shared" si="3"/>
        <v>43758.225000000006</v>
      </c>
      <c r="J13" s="96">
        <f t="shared" si="3"/>
        <v>45946.13625000001</v>
      </c>
      <c r="K13" s="96">
        <f t="shared" si="3"/>
        <v>48243.443062500017</v>
      </c>
    </row>
    <row r="14" spans="1:11">
      <c r="A14" s="95" t="s">
        <v>125</v>
      </c>
      <c r="B14" s="95" t="s">
        <v>352</v>
      </c>
      <c r="C14" s="95">
        <v>12</v>
      </c>
      <c r="D14" s="256">
        <v>8400</v>
      </c>
      <c r="E14" s="96">
        <f t="shared" si="4"/>
        <v>100800</v>
      </c>
      <c r="F14" s="96">
        <f t="shared" si="3"/>
        <v>105840</v>
      </c>
      <c r="G14" s="96">
        <f t="shared" si="3"/>
        <v>111132</v>
      </c>
      <c r="H14" s="96">
        <f t="shared" si="3"/>
        <v>116688.6</v>
      </c>
      <c r="I14" s="96">
        <f t="shared" si="3"/>
        <v>122523.03000000003</v>
      </c>
      <c r="J14" s="96">
        <f t="shared" si="3"/>
        <v>128649.18150000004</v>
      </c>
      <c r="K14" s="96">
        <f t="shared" si="3"/>
        <v>135081.64057500006</v>
      </c>
    </row>
    <row r="15" spans="1:11">
      <c r="A15" s="95" t="s">
        <v>156</v>
      </c>
      <c r="B15" s="95" t="s">
        <v>352</v>
      </c>
      <c r="C15" s="95">
        <v>12</v>
      </c>
      <c r="D15" s="256">
        <v>20000</v>
      </c>
      <c r="E15" s="96">
        <f t="shared" si="4"/>
        <v>240000</v>
      </c>
      <c r="F15" s="96">
        <f t="shared" si="3"/>
        <v>252000</v>
      </c>
      <c r="G15" s="96">
        <f t="shared" si="3"/>
        <v>264600</v>
      </c>
      <c r="H15" s="96">
        <f t="shared" si="3"/>
        <v>277830.00000000006</v>
      </c>
      <c r="I15" s="96">
        <f t="shared" si="3"/>
        <v>291721.50000000006</v>
      </c>
      <c r="J15" s="96">
        <f t="shared" si="3"/>
        <v>306307.57500000007</v>
      </c>
      <c r="K15" s="96">
        <f t="shared" si="3"/>
        <v>321622.9537500001</v>
      </c>
    </row>
    <row r="16" spans="1:11">
      <c r="A16" s="95" t="s">
        <v>157</v>
      </c>
      <c r="B16" s="95" t="s">
        <v>353</v>
      </c>
      <c r="C16" s="95">
        <v>1</v>
      </c>
      <c r="D16" s="256">
        <v>50000</v>
      </c>
      <c r="E16" s="96">
        <f>$D16*E$4*$C16</f>
        <v>50000</v>
      </c>
      <c r="F16" s="96">
        <f t="shared" ref="F16:K22" si="5">$D16*F$4*$C16</f>
        <v>52500</v>
      </c>
      <c r="G16" s="96">
        <f t="shared" si="5"/>
        <v>55125</v>
      </c>
      <c r="H16" s="96">
        <f t="shared" si="5"/>
        <v>57881.250000000007</v>
      </c>
      <c r="I16" s="96">
        <f t="shared" si="5"/>
        <v>60775.312500000015</v>
      </c>
      <c r="J16" s="96">
        <f t="shared" si="5"/>
        <v>63814.078125000015</v>
      </c>
      <c r="K16" s="96">
        <f t="shared" si="5"/>
        <v>67004.782031250026</v>
      </c>
    </row>
    <row r="17" spans="1:17">
      <c r="A17" s="95"/>
      <c r="B17" s="95"/>
      <c r="C17" s="95"/>
      <c r="D17" s="256"/>
      <c r="E17" s="96">
        <f t="shared" ref="E17:E22" si="6">$D17*E$4*$C17</f>
        <v>0</v>
      </c>
      <c r="F17" s="96">
        <f t="shared" si="5"/>
        <v>0</v>
      </c>
      <c r="G17" s="96">
        <f t="shared" si="5"/>
        <v>0</v>
      </c>
      <c r="H17" s="96">
        <f t="shared" si="5"/>
        <v>0</v>
      </c>
      <c r="I17" s="96">
        <f t="shared" si="5"/>
        <v>0</v>
      </c>
      <c r="J17" s="96">
        <f t="shared" si="5"/>
        <v>0</v>
      </c>
      <c r="K17" s="96">
        <f t="shared" si="5"/>
        <v>0</v>
      </c>
    </row>
    <row r="18" spans="1:17">
      <c r="A18" s="95"/>
      <c r="B18" s="95"/>
      <c r="C18" s="95"/>
      <c r="D18" s="256"/>
      <c r="E18" s="96">
        <f t="shared" si="6"/>
        <v>0</v>
      </c>
      <c r="F18" s="96">
        <f t="shared" si="5"/>
        <v>0</v>
      </c>
      <c r="G18" s="96">
        <f t="shared" si="5"/>
        <v>0</v>
      </c>
      <c r="H18" s="96">
        <f t="shared" si="5"/>
        <v>0</v>
      </c>
      <c r="I18" s="96">
        <f t="shared" si="5"/>
        <v>0</v>
      </c>
      <c r="J18" s="96">
        <f t="shared" si="5"/>
        <v>0</v>
      </c>
      <c r="K18" s="96">
        <f t="shared" si="5"/>
        <v>0</v>
      </c>
    </row>
    <row r="19" spans="1:17">
      <c r="A19" s="95"/>
      <c r="B19" s="95"/>
      <c r="C19" s="95"/>
      <c r="D19" s="256"/>
      <c r="E19" s="96">
        <f t="shared" si="6"/>
        <v>0</v>
      </c>
      <c r="F19" s="96">
        <f t="shared" si="5"/>
        <v>0</v>
      </c>
      <c r="G19" s="96">
        <f t="shared" si="5"/>
        <v>0</v>
      </c>
      <c r="H19" s="96">
        <f t="shared" si="5"/>
        <v>0</v>
      </c>
      <c r="I19" s="96">
        <f t="shared" si="5"/>
        <v>0</v>
      </c>
      <c r="J19" s="96">
        <f t="shared" si="5"/>
        <v>0</v>
      </c>
      <c r="K19" s="96">
        <f t="shared" si="5"/>
        <v>0</v>
      </c>
    </row>
    <row r="20" spans="1:17">
      <c r="A20" s="95"/>
      <c r="B20" s="95"/>
      <c r="C20" s="95"/>
      <c r="D20" s="256"/>
      <c r="E20" s="96">
        <f t="shared" si="6"/>
        <v>0</v>
      </c>
      <c r="F20" s="96">
        <f t="shared" si="5"/>
        <v>0</v>
      </c>
      <c r="G20" s="96">
        <f t="shared" si="5"/>
        <v>0</v>
      </c>
      <c r="H20" s="96">
        <f t="shared" si="5"/>
        <v>0</v>
      </c>
      <c r="I20" s="96">
        <f t="shared" si="5"/>
        <v>0</v>
      </c>
      <c r="J20" s="96">
        <f t="shared" si="5"/>
        <v>0</v>
      </c>
      <c r="K20" s="96">
        <f t="shared" si="5"/>
        <v>0</v>
      </c>
    </row>
    <row r="21" spans="1:17">
      <c r="A21" s="95"/>
      <c r="B21" s="95"/>
      <c r="C21" s="95"/>
      <c r="D21" s="256"/>
      <c r="E21" s="96">
        <f t="shared" si="6"/>
        <v>0</v>
      </c>
      <c r="F21" s="96">
        <f t="shared" si="5"/>
        <v>0</v>
      </c>
      <c r="G21" s="96">
        <f t="shared" si="5"/>
        <v>0</v>
      </c>
      <c r="H21" s="96">
        <f t="shared" si="5"/>
        <v>0</v>
      </c>
      <c r="I21" s="96">
        <f t="shared" si="5"/>
        <v>0</v>
      </c>
      <c r="J21" s="96">
        <f t="shared" si="5"/>
        <v>0</v>
      </c>
      <c r="K21" s="96">
        <f t="shared" si="5"/>
        <v>0</v>
      </c>
    </row>
    <row r="22" spans="1:17">
      <c r="A22" s="95"/>
      <c r="B22" s="95"/>
      <c r="C22" s="95"/>
      <c r="D22" s="96"/>
      <c r="E22" s="96">
        <f t="shared" si="6"/>
        <v>0</v>
      </c>
      <c r="F22" s="96">
        <f t="shared" si="5"/>
        <v>0</v>
      </c>
      <c r="G22" s="96">
        <f t="shared" si="5"/>
        <v>0</v>
      </c>
      <c r="H22" s="96">
        <f t="shared" si="5"/>
        <v>0</v>
      </c>
      <c r="I22" s="96">
        <f t="shared" si="5"/>
        <v>0</v>
      </c>
      <c r="J22" s="96">
        <f t="shared" si="5"/>
        <v>0</v>
      </c>
      <c r="K22" s="96">
        <f t="shared" si="5"/>
        <v>0</v>
      </c>
    </row>
    <row r="23" spans="1:17">
      <c r="A23" s="97" t="s">
        <v>96</v>
      </c>
      <c r="B23" s="97"/>
      <c r="C23" s="97"/>
      <c r="D23" s="115"/>
      <c r="E23" s="115">
        <f>SUM(E8:E22)</f>
        <v>1254800</v>
      </c>
      <c r="F23" s="115">
        <f t="shared" ref="F23:K23" si="7">SUM(F8:F22)</f>
        <v>1317540</v>
      </c>
      <c r="G23" s="115">
        <f t="shared" si="7"/>
        <v>1383417</v>
      </c>
      <c r="H23" s="115">
        <f t="shared" si="7"/>
        <v>1452587.8500000003</v>
      </c>
      <c r="I23" s="115">
        <f t="shared" si="7"/>
        <v>1525217.2425000002</v>
      </c>
      <c r="J23" s="115">
        <f t="shared" si="7"/>
        <v>1601478.1046250002</v>
      </c>
      <c r="K23" s="115">
        <f t="shared" si="7"/>
        <v>1681552.0098562504</v>
      </c>
    </row>
    <row r="28" spans="1:17">
      <c r="A28" s="437"/>
      <c r="B28" s="437"/>
      <c r="C28" s="437"/>
      <c r="D28" s="437"/>
      <c r="E28" s="437"/>
      <c r="F28" s="437"/>
      <c r="G28" s="437"/>
      <c r="H28" s="437"/>
      <c r="I28" s="437"/>
      <c r="J28" s="437"/>
      <c r="K28" s="437"/>
      <c r="L28" s="437"/>
      <c r="M28" s="437"/>
      <c r="N28" s="437"/>
      <c r="O28" s="437"/>
    </row>
    <row r="29" spans="1:17" ht="18.75">
      <c r="A29" s="493" t="s">
        <v>513</v>
      </c>
      <c r="B29" s="493"/>
      <c r="C29" s="493"/>
      <c r="D29" s="493"/>
      <c r="E29" s="493"/>
      <c r="F29" s="493"/>
      <c r="G29" s="493"/>
      <c r="H29" s="493"/>
      <c r="I29" s="493"/>
      <c r="J29" s="493"/>
      <c r="K29" s="493"/>
      <c r="L29" s="493"/>
      <c r="M29" s="493"/>
      <c r="N29" s="493"/>
      <c r="O29" s="493"/>
      <c r="P29" s="493"/>
      <c r="Q29" s="493"/>
    </row>
    <row r="30" spans="1:17" s="13" customFormat="1">
      <c r="A30" s="149"/>
      <c r="B30" s="149"/>
      <c r="C30" s="149"/>
      <c r="D30" s="149"/>
      <c r="E30" s="149"/>
      <c r="F30" s="149"/>
      <c r="G30" s="149"/>
      <c r="H30" s="149"/>
      <c r="I30" s="149"/>
      <c r="J30" s="149"/>
      <c r="K30" s="149"/>
      <c r="L30" s="149"/>
      <c r="M30" s="149"/>
      <c r="N30" s="149"/>
      <c r="O30" s="149"/>
    </row>
    <row r="31" spans="1:17">
      <c r="A31" s="94"/>
      <c r="B31" s="94"/>
      <c r="C31" s="438" t="s">
        <v>160</v>
      </c>
      <c r="D31" s="438"/>
      <c r="E31" s="438"/>
      <c r="F31" s="438"/>
      <c r="G31" s="438"/>
      <c r="H31" s="438"/>
      <c r="I31" s="438"/>
      <c r="J31" s="94"/>
      <c r="K31" s="439" t="s">
        <v>161</v>
      </c>
      <c r="L31" s="439"/>
      <c r="M31" s="439"/>
      <c r="N31" s="439"/>
      <c r="O31" s="439"/>
      <c r="P31" s="439"/>
      <c r="Q31" s="439"/>
    </row>
    <row r="32" spans="1:17">
      <c r="A32" s="169" t="s">
        <v>0</v>
      </c>
      <c r="B32" s="162"/>
      <c r="C32" s="59" t="s">
        <v>2</v>
      </c>
      <c r="D32" s="59" t="s">
        <v>3</v>
      </c>
      <c r="E32" s="59" t="s">
        <v>4</v>
      </c>
      <c r="F32" s="59" t="s">
        <v>5</v>
      </c>
      <c r="G32" s="59" t="s">
        <v>6</v>
      </c>
      <c r="H32" s="59" t="s">
        <v>134</v>
      </c>
      <c r="I32" s="59" t="s">
        <v>133</v>
      </c>
      <c r="J32" s="170"/>
      <c r="K32" s="59" t="s">
        <v>2</v>
      </c>
      <c r="L32" s="59" t="s">
        <v>3</v>
      </c>
      <c r="M32" s="59" t="s">
        <v>4</v>
      </c>
      <c r="N32" s="59" t="s">
        <v>5</v>
      </c>
      <c r="O32" s="59" t="s">
        <v>6</v>
      </c>
      <c r="P32" s="59" t="s">
        <v>134</v>
      </c>
      <c r="Q32" s="59" t="s">
        <v>133</v>
      </c>
    </row>
    <row r="33" spans="1:17">
      <c r="A33" s="163" t="s">
        <v>162</v>
      </c>
      <c r="B33" s="99"/>
      <c r="C33" s="99"/>
      <c r="D33" s="99"/>
      <c r="E33" s="99"/>
      <c r="F33" s="99"/>
      <c r="G33" s="164"/>
      <c r="H33" s="164"/>
      <c r="I33" s="164"/>
      <c r="J33" s="99"/>
      <c r="K33" s="99"/>
      <c r="L33" s="99"/>
      <c r="M33" s="99"/>
      <c r="N33" s="99"/>
      <c r="O33" s="164"/>
      <c r="P33" s="164"/>
      <c r="Q33" s="164"/>
    </row>
    <row r="34" spans="1:17">
      <c r="A34" s="163"/>
      <c r="B34" s="99"/>
      <c r="C34" s="99"/>
      <c r="D34" s="99"/>
      <c r="E34" s="99"/>
      <c r="F34" s="99"/>
      <c r="G34" s="164"/>
      <c r="H34" s="164"/>
      <c r="I34" s="164"/>
      <c r="J34" s="99"/>
      <c r="K34" s="99"/>
      <c r="L34" s="99"/>
      <c r="M34" s="99"/>
      <c r="N34" s="99"/>
      <c r="O34" s="164"/>
      <c r="P34" s="164"/>
      <c r="Q34" s="164"/>
    </row>
    <row r="35" spans="1:17">
      <c r="A35" s="165"/>
      <c r="B35" s="165"/>
      <c r="C35" s="99"/>
      <c r="D35" s="99"/>
      <c r="E35" s="99"/>
      <c r="F35" s="99"/>
      <c r="G35" s="99"/>
      <c r="H35" s="99"/>
      <c r="I35" s="99"/>
      <c r="J35" s="99"/>
      <c r="K35" s="99"/>
      <c r="L35" s="99"/>
      <c r="M35" s="99"/>
      <c r="N35" s="99"/>
      <c r="O35" s="99"/>
      <c r="P35" s="99"/>
      <c r="Q35" s="99"/>
    </row>
    <row r="36" spans="1:17">
      <c r="A36" s="166" t="s">
        <v>166</v>
      </c>
      <c r="B36" s="166"/>
      <c r="C36" s="99"/>
      <c r="D36" s="99"/>
      <c r="E36" s="99"/>
      <c r="F36" s="99"/>
      <c r="G36" s="99"/>
      <c r="H36" s="99"/>
      <c r="I36" s="99"/>
      <c r="J36" s="99"/>
      <c r="K36" s="99"/>
      <c r="L36" s="99"/>
      <c r="M36" s="99"/>
      <c r="N36" s="99"/>
      <c r="O36" s="99"/>
      <c r="P36" s="99"/>
      <c r="Q36" s="99"/>
    </row>
    <row r="37" spans="1:17">
      <c r="A37" s="165" t="s">
        <v>163</v>
      </c>
      <c r="B37" s="165"/>
      <c r="C37" s="167">
        <f>'1.Project Cost and MOF'!D5</f>
        <v>16153456.73</v>
      </c>
      <c r="D37" s="167">
        <f t="shared" ref="D37:I37" si="8">C40</f>
        <v>15641392.151659001</v>
      </c>
      <c r="E37" s="167">
        <f t="shared" si="8"/>
        <v>15129327.573318001</v>
      </c>
      <c r="F37" s="167">
        <f t="shared" si="8"/>
        <v>14617262.994977001</v>
      </c>
      <c r="G37" s="167">
        <f t="shared" si="8"/>
        <v>14105198.416636001</v>
      </c>
      <c r="H37" s="167">
        <f t="shared" si="8"/>
        <v>13593133.838295002</v>
      </c>
      <c r="I37" s="167">
        <f t="shared" si="8"/>
        <v>13081069.259954002</v>
      </c>
      <c r="J37" s="99"/>
      <c r="K37" s="167">
        <f>C37</f>
        <v>16153456.73</v>
      </c>
      <c r="L37" s="167">
        <f t="shared" ref="L37:Q37" si="9">K40</f>
        <v>14538111.057</v>
      </c>
      <c r="M37" s="167">
        <f t="shared" si="9"/>
        <v>13084299.951299999</v>
      </c>
      <c r="N37" s="167">
        <f t="shared" si="9"/>
        <v>11775869.956169998</v>
      </c>
      <c r="O37" s="167">
        <f t="shared" si="9"/>
        <v>10598282.960552998</v>
      </c>
      <c r="P37" s="167">
        <f t="shared" si="9"/>
        <v>9538454.6644976977</v>
      </c>
      <c r="Q37" s="167">
        <f t="shared" si="9"/>
        <v>8584609.1980479285</v>
      </c>
    </row>
    <row r="38" spans="1:17">
      <c r="A38" s="165" t="s">
        <v>17</v>
      </c>
      <c r="B38" s="165"/>
      <c r="C38" s="167">
        <f t="shared" ref="C38:I38" si="10">$C$37*$B$74</f>
        <v>512064.57834100001</v>
      </c>
      <c r="D38" s="167">
        <f t="shared" si="10"/>
        <v>512064.57834100001</v>
      </c>
      <c r="E38" s="167">
        <f t="shared" si="10"/>
        <v>512064.57834100001</v>
      </c>
      <c r="F38" s="167">
        <f t="shared" si="10"/>
        <v>512064.57834100001</v>
      </c>
      <c r="G38" s="167">
        <f t="shared" si="10"/>
        <v>512064.57834100001</v>
      </c>
      <c r="H38" s="167">
        <f t="shared" si="10"/>
        <v>512064.57834100001</v>
      </c>
      <c r="I38" s="167">
        <f t="shared" si="10"/>
        <v>512064.57834100001</v>
      </c>
      <c r="J38" s="99"/>
      <c r="K38" s="167">
        <f t="shared" ref="K38:Q38" si="11">K37*$C$74</f>
        <v>1615345.6730000002</v>
      </c>
      <c r="L38" s="167">
        <f t="shared" si="11"/>
        <v>1453811.1057000002</v>
      </c>
      <c r="M38" s="167">
        <f t="shared" si="11"/>
        <v>1308429.9951299999</v>
      </c>
      <c r="N38" s="167">
        <f t="shared" si="11"/>
        <v>1177586.9956169999</v>
      </c>
      <c r="O38" s="167">
        <f t="shared" si="11"/>
        <v>1059828.2960552999</v>
      </c>
      <c r="P38" s="167">
        <f t="shared" si="11"/>
        <v>953845.4664497698</v>
      </c>
      <c r="Q38" s="167">
        <f t="shared" si="11"/>
        <v>858460.91980479285</v>
      </c>
    </row>
    <row r="39" spans="1:17">
      <c r="A39" s="165" t="s">
        <v>164</v>
      </c>
      <c r="B39" s="165"/>
      <c r="C39" s="167">
        <f>C38</f>
        <v>512064.57834100001</v>
      </c>
      <c r="D39" s="167">
        <f t="shared" ref="D39:I39" si="12">C39+D38</f>
        <v>1024129.156682</v>
      </c>
      <c r="E39" s="167">
        <f t="shared" si="12"/>
        <v>1536193.735023</v>
      </c>
      <c r="F39" s="167">
        <f t="shared" si="12"/>
        <v>2048258.3133640001</v>
      </c>
      <c r="G39" s="167">
        <f t="shared" si="12"/>
        <v>2560322.8917049998</v>
      </c>
      <c r="H39" s="167">
        <f t="shared" si="12"/>
        <v>3072387.4700459996</v>
      </c>
      <c r="I39" s="167">
        <f t="shared" si="12"/>
        <v>3584452.0483869994</v>
      </c>
      <c r="J39" s="99"/>
      <c r="K39" s="167">
        <f>K38</f>
        <v>1615345.6730000002</v>
      </c>
      <c r="L39" s="167">
        <f t="shared" ref="L39:Q39" si="13">K39+L38</f>
        <v>3069156.7787000006</v>
      </c>
      <c r="M39" s="167">
        <f t="shared" si="13"/>
        <v>4377586.7738300003</v>
      </c>
      <c r="N39" s="167">
        <f t="shared" si="13"/>
        <v>5555173.7694470007</v>
      </c>
      <c r="O39" s="167">
        <f t="shared" si="13"/>
        <v>6615002.0655023009</v>
      </c>
      <c r="P39" s="167">
        <f t="shared" si="13"/>
        <v>7568847.531952071</v>
      </c>
      <c r="Q39" s="167">
        <f t="shared" si="13"/>
        <v>8427308.4517568648</v>
      </c>
    </row>
    <row r="40" spans="1:17">
      <c r="A40" s="165" t="s">
        <v>165</v>
      </c>
      <c r="B40" s="165"/>
      <c r="C40" s="167">
        <f t="shared" ref="C40:I40" si="14">C37-C38</f>
        <v>15641392.151659001</v>
      </c>
      <c r="D40" s="167">
        <f t="shared" si="14"/>
        <v>15129327.573318001</v>
      </c>
      <c r="E40" s="167">
        <f t="shared" si="14"/>
        <v>14617262.994977001</v>
      </c>
      <c r="F40" s="167">
        <f t="shared" si="14"/>
        <v>14105198.416636001</v>
      </c>
      <c r="G40" s="167">
        <f t="shared" si="14"/>
        <v>13593133.838295002</v>
      </c>
      <c r="H40" s="167">
        <f t="shared" si="14"/>
        <v>13081069.259954002</v>
      </c>
      <c r="I40" s="167">
        <f t="shared" si="14"/>
        <v>12569004.681613002</v>
      </c>
      <c r="J40" s="99"/>
      <c r="K40" s="167">
        <f t="shared" ref="K40:Q40" si="15">K37-K38</f>
        <v>14538111.057</v>
      </c>
      <c r="L40" s="167">
        <f t="shared" si="15"/>
        <v>13084299.951299999</v>
      </c>
      <c r="M40" s="167">
        <f t="shared" si="15"/>
        <v>11775869.956169998</v>
      </c>
      <c r="N40" s="167">
        <f t="shared" si="15"/>
        <v>10598282.960552998</v>
      </c>
      <c r="O40" s="167">
        <f t="shared" si="15"/>
        <v>9538454.6644976977</v>
      </c>
      <c r="P40" s="167">
        <f t="shared" si="15"/>
        <v>8584609.1980479285</v>
      </c>
      <c r="Q40" s="167">
        <f t="shared" si="15"/>
        <v>7726148.2782431357</v>
      </c>
    </row>
    <row r="41" spans="1:17">
      <c r="A41" s="165"/>
      <c r="B41" s="165"/>
      <c r="C41" s="167"/>
      <c r="D41" s="167"/>
      <c r="E41" s="167"/>
      <c r="F41" s="167"/>
      <c r="G41" s="167"/>
      <c r="H41" s="167"/>
      <c r="I41" s="167"/>
      <c r="J41" s="99"/>
      <c r="K41" s="167"/>
      <c r="L41" s="167"/>
      <c r="M41" s="167"/>
      <c r="N41" s="167"/>
      <c r="O41" s="167"/>
      <c r="P41" s="167"/>
      <c r="Q41" s="167"/>
    </row>
    <row r="42" spans="1:17">
      <c r="A42" s="166" t="s">
        <v>167</v>
      </c>
      <c r="B42" s="166"/>
      <c r="C42" s="167"/>
      <c r="D42" s="167"/>
      <c r="E42" s="167"/>
      <c r="F42" s="167"/>
      <c r="G42" s="167"/>
      <c r="H42" s="167"/>
      <c r="I42" s="167"/>
      <c r="J42" s="99"/>
      <c r="K42" s="167"/>
      <c r="L42" s="167"/>
      <c r="M42" s="167"/>
      <c r="N42" s="167"/>
      <c r="O42" s="167"/>
      <c r="P42" s="167"/>
      <c r="Q42" s="167"/>
    </row>
    <row r="43" spans="1:17">
      <c r="A43" s="165" t="s">
        <v>163</v>
      </c>
      <c r="B43" s="165"/>
      <c r="C43" s="167">
        <f>'1.Project Cost and MOF'!D6</f>
        <v>32237242</v>
      </c>
      <c r="D43" s="167">
        <f t="shared" ref="D43:I43" si="16">C46</f>
        <v>30196624.5814</v>
      </c>
      <c r="E43" s="167">
        <f t="shared" si="16"/>
        <v>28156007.162799999</v>
      </c>
      <c r="F43" s="167">
        <f t="shared" si="16"/>
        <v>26115389.744199999</v>
      </c>
      <c r="G43" s="167">
        <f t="shared" si="16"/>
        <v>24074772.325599998</v>
      </c>
      <c r="H43" s="167">
        <f t="shared" si="16"/>
        <v>22034154.906999998</v>
      </c>
      <c r="I43" s="167">
        <f t="shared" si="16"/>
        <v>19993537.488399997</v>
      </c>
      <c r="J43" s="99"/>
      <c r="K43" s="167">
        <f>C43</f>
        <v>32237242</v>
      </c>
      <c r="L43" s="167">
        <f t="shared" ref="L43:Q43" si="17">K46</f>
        <v>27401655.699999999</v>
      </c>
      <c r="M43" s="167">
        <f t="shared" si="17"/>
        <v>23291407.344999999</v>
      </c>
      <c r="N43" s="167">
        <f t="shared" si="17"/>
        <v>19797696.243249997</v>
      </c>
      <c r="O43" s="167">
        <f t="shared" si="17"/>
        <v>16828041.806762498</v>
      </c>
      <c r="P43" s="167">
        <f t="shared" si="17"/>
        <v>14303835.535748124</v>
      </c>
      <c r="Q43" s="167">
        <f t="shared" si="17"/>
        <v>12158260.205385905</v>
      </c>
    </row>
    <row r="44" spans="1:17">
      <c r="A44" s="165" t="s">
        <v>17</v>
      </c>
      <c r="B44" s="165"/>
      <c r="C44" s="167">
        <f t="shared" ref="C44:I44" si="18">$C$43*$B$78</f>
        <v>2040617.4185999997</v>
      </c>
      <c r="D44" s="167">
        <f t="shared" si="18"/>
        <v>2040617.4185999997</v>
      </c>
      <c r="E44" s="167">
        <f t="shared" si="18"/>
        <v>2040617.4185999997</v>
      </c>
      <c r="F44" s="167">
        <f t="shared" si="18"/>
        <v>2040617.4185999997</v>
      </c>
      <c r="G44" s="167">
        <f t="shared" si="18"/>
        <v>2040617.4185999997</v>
      </c>
      <c r="H44" s="167">
        <f t="shared" si="18"/>
        <v>2040617.4185999997</v>
      </c>
      <c r="I44" s="167">
        <f t="shared" si="18"/>
        <v>2040617.4185999997</v>
      </c>
      <c r="J44" s="99"/>
      <c r="K44" s="167">
        <f t="shared" ref="K44:Q44" si="19">K43*$C$78</f>
        <v>4835586.3</v>
      </c>
      <c r="L44" s="167">
        <f t="shared" si="19"/>
        <v>4110248.3549999995</v>
      </c>
      <c r="M44" s="167">
        <f t="shared" si="19"/>
        <v>3493711.1017499999</v>
      </c>
      <c r="N44" s="167">
        <f t="shared" si="19"/>
        <v>2969654.4364874996</v>
      </c>
      <c r="O44" s="167">
        <f t="shared" si="19"/>
        <v>2524206.2710143747</v>
      </c>
      <c r="P44" s="167">
        <f t="shared" si="19"/>
        <v>2145575.3303622184</v>
      </c>
      <c r="Q44" s="167">
        <f t="shared" si="19"/>
        <v>1823739.0308078856</v>
      </c>
    </row>
    <row r="45" spans="1:17">
      <c r="A45" s="165" t="s">
        <v>164</v>
      </c>
      <c r="B45" s="165"/>
      <c r="C45" s="167">
        <f>C44</f>
        <v>2040617.4185999997</v>
      </c>
      <c r="D45" s="167">
        <f t="shared" ref="D45:I45" si="20">C45+D44</f>
        <v>4081234.8371999995</v>
      </c>
      <c r="E45" s="167">
        <f t="shared" si="20"/>
        <v>6121852.2557999995</v>
      </c>
      <c r="F45" s="167">
        <f t="shared" si="20"/>
        <v>8162469.674399999</v>
      </c>
      <c r="G45" s="167">
        <f t="shared" si="20"/>
        <v>10203087.092999998</v>
      </c>
      <c r="H45" s="167">
        <f t="shared" si="20"/>
        <v>12243704.511599999</v>
      </c>
      <c r="I45" s="167">
        <f t="shared" si="20"/>
        <v>14284321.930199999</v>
      </c>
      <c r="J45" s="99"/>
      <c r="K45" s="167">
        <f>K44</f>
        <v>4835586.3</v>
      </c>
      <c r="L45" s="167">
        <f t="shared" ref="L45:Q45" si="21">K45+L44</f>
        <v>8945834.6549999993</v>
      </c>
      <c r="M45" s="167">
        <f t="shared" si="21"/>
        <v>12439545.756749999</v>
      </c>
      <c r="N45" s="167">
        <f t="shared" si="21"/>
        <v>15409200.193237498</v>
      </c>
      <c r="O45" s="167">
        <f t="shared" si="21"/>
        <v>17933406.464251872</v>
      </c>
      <c r="P45" s="167">
        <f t="shared" si="21"/>
        <v>20078981.794614092</v>
      </c>
      <c r="Q45" s="167">
        <f t="shared" si="21"/>
        <v>21902720.825421978</v>
      </c>
    </row>
    <row r="46" spans="1:17">
      <c r="A46" s="165" t="s">
        <v>165</v>
      </c>
      <c r="B46" s="165"/>
      <c r="C46" s="167">
        <f t="shared" ref="C46:I46" si="22">C43-C44</f>
        <v>30196624.5814</v>
      </c>
      <c r="D46" s="167">
        <f t="shared" si="22"/>
        <v>28156007.162799999</v>
      </c>
      <c r="E46" s="167">
        <f t="shared" si="22"/>
        <v>26115389.744199999</v>
      </c>
      <c r="F46" s="167">
        <f t="shared" si="22"/>
        <v>24074772.325599998</v>
      </c>
      <c r="G46" s="167">
        <f t="shared" si="22"/>
        <v>22034154.906999998</v>
      </c>
      <c r="H46" s="167">
        <f t="shared" si="22"/>
        <v>19993537.488399997</v>
      </c>
      <c r="I46" s="167">
        <f t="shared" si="22"/>
        <v>17952920.069799997</v>
      </c>
      <c r="J46" s="99"/>
      <c r="K46" s="167">
        <f t="shared" ref="K46:Q46" si="23">K43-K44</f>
        <v>27401655.699999999</v>
      </c>
      <c r="L46" s="167">
        <f t="shared" si="23"/>
        <v>23291407.344999999</v>
      </c>
      <c r="M46" s="167">
        <f t="shared" si="23"/>
        <v>19797696.243249997</v>
      </c>
      <c r="N46" s="167">
        <f t="shared" si="23"/>
        <v>16828041.806762498</v>
      </c>
      <c r="O46" s="167">
        <f t="shared" si="23"/>
        <v>14303835.535748124</v>
      </c>
      <c r="P46" s="167">
        <f t="shared" si="23"/>
        <v>12158260.205385905</v>
      </c>
      <c r="Q46" s="167">
        <f t="shared" si="23"/>
        <v>10334521.174578018</v>
      </c>
    </row>
    <row r="47" spans="1:17">
      <c r="A47" s="165"/>
      <c r="B47" s="165"/>
      <c r="C47" s="167"/>
      <c r="D47" s="167"/>
      <c r="E47" s="167"/>
      <c r="F47" s="167"/>
      <c r="G47" s="167"/>
      <c r="H47" s="167"/>
      <c r="I47" s="167"/>
      <c r="J47" s="99"/>
      <c r="K47" s="167"/>
      <c r="L47" s="167"/>
      <c r="M47" s="167"/>
      <c r="N47" s="167"/>
      <c r="O47" s="167"/>
      <c r="P47" s="167"/>
      <c r="Q47" s="167"/>
    </row>
    <row r="48" spans="1:17">
      <c r="A48" s="166" t="s">
        <v>168</v>
      </c>
      <c r="B48" s="166"/>
      <c r="C48" s="167"/>
      <c r="D48" s="167"/>
      <c r="E48" s="167"/>
      <c r="F48" s="167"/>
      <c r="G48" s="167"/>
      <c r="H48" s="167"/>
      <c r="I48" s="167"/>
      <c r="J48" s="99"/>
      <c r="K48" s="167"/>
      <c r="L48" s="167"/>
      <c r="M48" s="167"/>
      <c r="N48" s="167"/>
      <c r="O48" s="167"/>
      <c r="P48" s="167"/>
      <c r="Q48" s="167"/>
    </row>
    <row r="49" spans="1:17">
      <c r="A49" s="165" t="s">
        <v>163</v>
      </c>
      <c r="B49" s="165"/>
      <c r="C49" s="167">
        <f>'1.Project Cost and MOF'!D7</f>
        <v>0</v>
      </c>
      <c r="D49" s="167">
        <f t="shared" ref="D49:I49" si="24">C52</f>
        <v>0</v>
      </c>
      <c r="E49" s="167">
        <f t="shared" si="24"/>
        <v>0</v>
      </c>
      <c r="F49" s="167">
        <f t="shared" si="24"/>
        <v>0</v>
      </c>
      <c r="G49" s="167">
        <f t="shared" si="24"/>
        <v>0</v>
      </c>
      <c r="H49" s="167">
        <f t="shared" si="24"/>
        <v>0</v>
      </c>
      <c r="I49" s="167">
        <f t="shared" si="24"/>
        <v>0</v>
      </c>
      <c r="J49" s="99"/>
      <c r="K49" s="167">
        <f>C49</f>
        <v>0</v>
      </c>
      <c r="L49" s="167">
        <f t="shared" ref="L49:Q49" si="25">K52</f>
        <v>0</v>
      </c>
      <c r="M49" s="167">
        <f t="shared" si="25"/>
        <v>0</v>
      </c>
      <c r="N49" s="167">
        <f t="shared" si="25"/>
        <v>0</v>
      </c>
      <c r="O49" s="167">
        <f t="shared" si="25"/>
        <v>0</v>
      </c>
      <c r="P49" s="167">
        <f t="shared" si="25"/>
        <v>0</v>
      </c>
      <c r="Q49" s="167">
        <f t="shared" si="25"/>
        <v>0</v>
      </c>
    </row>
    <row r="50" spans="1:17">
      <c r="A50" s="165" t="s">
        <v>17</v>
      </c>
      <c r="B50" s="165"/>
      <c r="C50" s="167">
        <f t="shared" ref="C50:I50" si="26">$C$49*$B$75</f>
        <v>0</v>
      </c>
      <c r="D50" s="167">
        <f t="shared" si="26"/>
        <v>0</v>
      </c>
      <c r="E50" s="167">
        <f t="shared" si="26"/>
        <v>0</v>
      </c>
      <c r="F50" s="167">
        <f t="shared" si="26"/>
        <v>0</v>
      </c>
      <c r="G50" s="167">
        <f t="shared" si="26"/>
        <v>0</v>
      </c>
      <c r="H50" s="167">
        <f t="shared" si="26"/>
        <v>0</v>
      </c>
      <c r="I50" s="167">
        <f t="shared" si="26"/>
        <v>0</v>
      </c>
      <c r="J50" s="99"/>
      <c r="K50" s="167">
        <f t="shared" ref="K50:Q50" si="27">K49*$C$75</f>
        <v>0</v>
      </c>
      <c r="L50" s="167">
        <f t="shared" si="27"/>
        <v>0</v>
      </c>
      <c r="M50" s="167">
        <f t="shared" si="27"/>
        <v>0</v>
      </c>
      <c r="N50" s="167">
        <f t="shared" si="27"/>
        <v>0</v>
      </c>
      <c r="O50" s="167">
        <f t="shared" si="27"/>
        <v>0</v>
      </c>
      <c r="P50" s="167">
        <f t="shared" si="27"/>
        <v>0</v>
      </c>
      <c r="Q50" s="167">
        <f t="shared" si="27"/>
        <v>0</v>
      </c>
    </row>
    <row r="51" spans="1:17">
      <c r="A51" s="165" t="s">
        <v>164</v>
      </c>
      <c r="B51" s="165"/>
      <c r="C51" s="167">
        <f>C50</f>
        <v>0</v>
      </c>
      <c r="D51" s="167">
        <f t="shared" ref="D51:I51" si="28">C51+D50</f>
        <v>0</v>
      </c>
      <c r="E51" s="167">
        <f t="shared" si="28"/>
        <v>0</v>
      </c>
      <c r="F51" s="167">
        <f t="shared" si="28"/>
        <v>0</v>
      </c>
      <c r="G51" s="167">
        <f t="shared" si="28"/>
        <v>0</v>
      </c>
      <c r="H51" s="167">
        <f t="shared" si="28"/>
        <v>0</v>
      </c>
      <c r="I51" s="167">
        <f t="shared" si="28"/>
        <v>0</v>
      </c>
      <c r="J51" s="99"/>
      <c r="K51" s="167">
        <f>K50</f>
        <v>0</v>
      </c>
      <c r="L51" s="167">
        <f t="shared" ref="L51:Q51" si="29">K51+L50</f>
        <v>0</v>
      </c>
      <c r="M51" s="167">
        <f t="shared" si="29"/>
        <v>0</v>
      </c>
      <c r="N51" s="167">
        <f t="shared" si="29"/>
        <v>0</v>
      </c>
      <c r="O51" s="167">
        <f t="shared" si="29"/>
        <v>0</v>
      </c>
      <c r="P51" s="167">
        <f t="shared" si="29"/>
        <v>0</v>
      </c>
      <c r="Q51" s="167">
        <f t="shared" si="29"/>
        <v>0</v>
      </c>
    </row>
    <row r="52" spans="1:17">
      <c r="A52" s="165" t="s">
        <v>165</v>
      </c>
      <c r="B52" s="165"/>
      <c r="C52" s="167">
        <f t="shared" ref="C52:I52" si="30">C49-C50</f>
        <v>0</v>
      </c>
      <c r="D52" s="167">
        <f t="shared" si="30"/>
        <v>0</v>
      </c>
      <c r="E52" s="167">
        <f t="shared" si="30"/>
        <v>0</v>
      </c>
      <c r="F52" s="167">
        <f t="shared" si="30"/>
        <v>0</v>
      </c>
      <c r="G52" s="167">
        <f t="shared" si="30"/>
        <v>0</v>
      </c>
      <c r="H52" s="167">
        <f t="shared" si="30"/>
        <v>0</v>
      </c>
      <c r="I52" s="167">
        <f t="shared" si="30"/>
        <v>0</v>
      </c>
      <c r="J52" s="99"/>
      <c r="K52" s="167">
        <f t="shared" ref="K52:Q52" si="31">K49-K50</f>
        <v>0</v>
      </c>
      <c r="L52" s="167">
        <f t="shared" si="31"/>
        <v>0</v>
      </c>
      <c r="M52" s="167">
        <f t="shared" si="31"/>
        <v>0</v>
      </c>
      <c r="N52" s="167">
        <f t="shared" si="31"/>
        <v>0</v>
      </c>
      <c r="O52" s="167">
        <f t="shared" si="31"/>
        <v>0</v>
      </c>
      <c r="P52" s="167">
        <f t="shared" si="31"/>
        <v>0</v>
      </c>
      <c r="Q52" s="167">
        <f t="shared" si="31"/>
        <v>0</v>
      </c>
    </row>
    <row r="53" spans="1:17">
      <c r="A53" s="165"/>
      <c r="B53" s="165"/>
      <c r="C53" s="167"/>
      <c r="D53" s="167"/>
      <c r="E53" s="167"/>
      <c r="F53" s="167"/>
      <c r="G53" s="167"/>
      <c r="H53" s="167"/>
      <c r="I53" s="167"/>
      <c r="J53" s="99"/>
      <c r="K53" s="167"/>
      <c r="L53" s="167"/>
      <c r="M53" s="167"/>
      <c r="N53" s="167"/>
      <c r="O53" s="167"/>
      <c r="P53" s="167"/>
      <c r="Q53" s="167"/>
    </row>
    <row r="54" spans="1:17">
      <c r="A54" s="166" t="s">
        <v>124</v>
      </c>
      <c r="B54" s="166"/>
      <c r="C54" s="167"/>
      <c r="D54" s="167"/>
      <c r="E54" s="167"/>
      <c r="F54" s="167"/>
      <c r="G54" s="167"/>
      <c r="H54" s="167"/>
      <c r="I54" s="167"/>
      <c r="J54" s="99"/>
      <c r="K54" s="167"/>
      <c r="L54" s="167"/>
      <c r="M54" s="167"/>
      <c r="N54" s="167"/>
      <c r="O54" s="167"/>
      <c r="P54" s="167"/>
      <c r="Q54" s="167"/>
    </row>
    <row r="55" spans="1:17">
      <c r="A55" s="165" t="s">
        <v>163</v>
      </c>
      <c r="B55" s="165"/>
      <c r="C55" s="167">
        <f>'1.Project Cost and MOF'!D9</f>
        <v>0</v>
      </c>
      <c r="D55" s="167">
        <f t="shared" ref="D55:I55" si="32">C58</f>
        <v>0</v>
      </c>
      <c r="E55" s="167">
        <f t="shared" si="32"/>
        <v>0</v>
      </c>
      <c r="F55" s="167">
        <f t="shared" si="32"/>
        <v>0</v>
      </c>
      <c r="G55" s="167">
        <f t="shared" si="32"/>
        <v>0</v>
      </c>
      <c r="H55" s="167">
        <f t="shared" si="32"/>
        <v>0</v>
      </c>
      <c r="I55" s="167">
        <f t="shared" si="32"/>
        <v>0</v>
      </c>
      <c r="J55" s="99"/>
      <c r="K55" s="167">
        <f>C55</f>
        <v>0</v>
      </c>
      <c r="L55" s="167">
        <f t="shared" ref="L55:Q55" si="33">K58</f>
        <v>0</v>
      </c>
      <c r="M55" s="167">
        <f t="shared" si="33"/>
        <v>0</v>
      </c>
      <c r="N55" s="167">
        <f t="shared" si="33"/>
        <v>0</v>
      </c>
      <c r="O55" s="167">
        <f t="shared" si="33"/>
        <v>0</v>
      </c>
      <c r="P55" s="167">
        <f t="shared" si="33"/>
        <v>0</v>
      </c>
      <c r="Q55" s="167">
        <f t="shared" si="33"/>
        <v>0</v>
      </c>
    </row>
    <row r="56" spans="1:17">
      <c r="A56" s="165" t="s">
        <v>17</v>
      </c>
      <c r="B56" s="165"/>
      <c r="C56" s="167">
        <f t="shared" ref="C56:I56" si="34">$C$55*$B$77</f>
        <v>0</v>
      </c>
      <c r="D56" s="167">
        <f t="shared" si="34"/>
        <v>0</v>
      </c>
      <c r="E56" s="167">
        <f t="shared" si="34"/>
        <v>0</v>
      </c>
      <c r="F56" s="167">
        <f t="shared" si="34"/>
        <v>0</v>
      </c>
      <c r="G56" s="167">
        <f t="shared" si="34"/>
        <v>0</v>
      </c>
      <c r="H56" s="167">
        <f t="shared" si="34"/>
        <v>0</v>
      </c>
      <c r="I56" s="167">
        <f t="shared" si="34"/>
        <v>0</v>
      </c>
      <c r="J56" s="99"/>
      <c r="K56" s="167">
        <f t="shared" ref="K56:Q56" si="35">K55*$C$77</f>
        <v>0</v>
      </c>
      <c r="L56" s="167">
        <f t="shared" si="35"/>
        <v>0</v>
      </c>
      <c r="M56" s="167">
        <f t="shared" si="35"/>
        <v>0</v>
      </c>
      <c r="N56" s="167">
        <f t="shared" si="35"/>
        <v>0</v>
      </c>
      <c r="O56" s="167">
        <f t="shared" si="35"/>
        <v>0</v>
      </c>
      <c r="P56" s="167">
        <f t="shared" si="35"/>
        <v>0</v>
      </c>
      <c r="Q56" s="167">
        <f t="shared" si="35"/>
        <v>0</v>
      </c>
    </row>
    <row r="57" spans="1:17">
      <c r="A57" s="165" t="s">
        <v>164</v>
      </c>
      <c r="B57" s="165"/>
      <c r="C57" s="167">
        <f>C56</f>
        <v>0</v>
      </c>
      <c r="D57" s="167">
        <f t="shared" ref="D57:I57" si="36">C57+D56</f>
        <v>0</v>
      </c>
      <c r="E57" s="167">
        <f t="shared" si="36"/>
        <v>0</v>
      </c>
      <c r="F57" s="167">
        <f t="shared" si="36"/>
        <v>0</v>
      </c>
      <c r="G57" s="167">
        <f t="shared" si="36"/>
        <v>0</v>
      </c>
      <c r="H57" s="167">
        <f t="shared" si="36"/>
        <v>0</v>
      </c>
      <c r="I57" s="167">
        <f t="shared" si="36"/>
        <v>0</v>
      </c>
      <c r="J57" s="99"/>
      <c r="K57" s="167">
        <f>K56</f>
        <v>0</v>
      </c>
      <c r="L57" s="167">
        <f t="shared" ref="L57:Q57" si="37">K57+L56</f>
        <v>0</v>
      </c>
      <c r="M57" s="167">
        <f t="shared" si="37"/>
        <v>0</v>
      </c>
      <c r="N57" s="167">
        <f t="shared" si="37"/>
        <v>0</v>
      </c>
      <c r="O57" s="167">
        <f t="shared" si="37"/>
        <v>0</v>
      </c>
      <c r="P57" s="167">
        <f t="shared" si="37"/>
        <v>0</v>
      </c>
      <c r="Q57" s="167">
        <f t="shared" si="37"/>
        <v>0</v>
      </c>
    </row>
    <row r="58" spans="1:17">
      <c r="A58" s="165" t="s">
        <v>165</v>
      </c>
      <c r="B58" s="165"/>
      <c r="C58" s="167">
        <f t="shared" ref="C58:I58" si="38">C55-C56</f>
        <v>0</v>
      </c>
      <c r="D58" s="167">
        <f t="shared" si="38"/>
        <v>0</v>
      </c>
      <c r="E58" s="167">
        <f t="shared" si="38"/>
        <v>0</v>
      </c>
      <c r="F58" s="167">
        <f t="shared" si="38"/>
        <v>0</v>
      </c>
      <c r="G58" s="167">
        <f t="shared" si="38"/>
        <v>0</v>
      </c>
      <c r="H58" s="167">
        <f t="shared" si="38"/>
        <v>0</v>
      </c>
      <c r="I58" s="167">
        <f t="shared" si="38"/>
        <v>0</v>
      </c>
      <c r="J58" s="99"/>
      <c r="K58" s="167">
        <f t="shared" ref="K58:Q58" si="39">K55-K56</f>
        <v>0</v>
      </c>
      <c r="L58" s="167">
        <f t="shared" si="39"/>
        <v>0</v>
      </c>
      <c r="M58" s="167">
        <f t="shared" si="39"/>
        <v>0</v>
      </c>
      <c r="N58" s="167">
        <f t="shared" si="39"/>
        <v>0</v>
      </c>
      <c r="O58" s="167">
        <f t="shared" si="39"/>
        <v>0</v>
      </c>
      <c r="P58" s="167">
        <f t="shared" si="39"/>
        <v>0</v>
      </c>
      <c r="Q58" s="167">
        <f t="shared" si="39"/>
        <v>0</v>
      </c>
    </row>
    <row r="59" spans="1:17">
      <c r="A59" s="165"/>
      <c r="B59" s="165"/>
      <c r="C59" s="167"/>
      <c r="D59" s="167"/>
      <c r="E59" s="167"/>
      <c r="F59" s="167"/>
      <c r="G59" s="167"/>
      <c r="H59" s="167"/>
      <c r="I59" s="167"/>
      <c r="J59" s="99"/>
      <c r="K59" s="167"/>
      <c r="L59" s="167"/>
      <c r="M59" s="167"/>
      <c r="N59" s="167"/>
      <c r="O59" s="167"/>
      <c r="P59" s="167"/>
      <c r="Q59" s="167"/>
    </row>
    <row r="60" spans="1:17">
      <c r="A60" s="337" t="s">
        <v>287</v>
      </c>
      <c r="B60" s="165"/>
      <c r="C60" s="167"/>
      <c r="D60" s="167"/>
      <c r="E60" s="167"/>
      <c r="F60" s="167"/>
      <c r="G60" s="167"/>
      <c r="H60" s="167"/>
      <c r="I60" s="167"/>
      <c r="J60" s="99"/>
      <c r="K60" s="167"/>
      <c r="L60" s="167"/>
      <c r="M60" s="167"/>
      <c r="N60" s="167"/>
      <c r="O60" s="167"/>
      <c r="P60" s="167"/>
      <c r="Q60" s="167"/>
    </row>
    <row r="61" spans="1:17">
      <c r="A61" s="165" t="str">
        <f>A55</f>
        <v>Asset Value</v>
      </c>
      <c r="B61" s="165"/>
      <c r="C61" s="167">
        <f>'1.Project Cost and MOF'!D8</f>
        <v>0</v>
      </c>
      <c r="D61" s="167">
        <f t="shared" ref="D61:I61" si="40">C64</f>
        <v>0</v>
      </c>
      <c r="E61" s="167">
        <f t="shared" si="40"/>
        <v>0</v>
      </c>
      <c r="F61" s="167">
        <f t="shared" si="40"/>
        <v>0</v>
      </c>
      <c r="G61" s="167">
        <f t="shared" si="40"/>
        <v>0</v>
      </c>
      <c r="H61" s="167">
        <f t="shared" si="40"/>
        <v>0</v>
      </c>
      <c r="I61" s="167">
        <f t="shared" si="40"/>
        <v>0</v>
      </c>
      <c r="J61" s="99"/>
      <c r="K61" s="167">
        <f>C61</f>
        <v>0</v>
      </c>
      <c r="L61" s="167">
        <f t="shared" ref="L61:Q61" si="41">K64</f>
        <v>0</v>
      </c>
      <c r="M61" s="167">
        <f t="shared" si="41"/>
        <v>0</v>
      </c>
      <c r="N61" s="167">
        <f t="shared" si="41"/>
        <v>0</v>
      </c>
      <c r="O61" s="167">
        <f t="shared" si="41"/>
        <v>0</v>
      </c>
      <c r="P61" s="167">
        <f t="shared" si="41"/>
        <v>0</v>
      </c>
      <c r="Q61" s="167">
        <f t="shared" si="41"/>
        <v>0</v>
      </c>
    </row>
    <row r="62" spans="1:17">
      <c r="A62" s="165" t="str">
        <f>A56</f>
        <v>Depreciation</v>
      </c>
      <c r="B62" s="165"/>
      <c r="C62" s="167">
        <f t="shared" ref="C62:I62" si="42">$C$61*$B$76</f>
        <v>0</v>
      </c>
      <c r="D62" s="167">
        <f t="shared" si="42"/>
        <v>0</v>
      </c>
      <c r="E62" s="167">
        <f t="shared" si="42"/>
        <v>0</v>
      </c>
      <c r="F62" s="167">
        <f t="shared" si="42"/>
        <v>0</v>
      </c>
      <c r="G62" s="167">
        <f t="shared" si="42"/>
        <v>0</v>
      </c>
      <c r="H62" s="167">
        <f t="shared" si="42"/>
        <v>0</v>
      </c>
      <c r="I62" s="167">
        <f t="shared" si="42"/>
        <v>0</v>
      </c>
      <c r="J62" s="99"/>
      <c r="K62" s="167">
        <f t="shared" ref="K62:Q62" si="43">K61*$C$76</f>
        <v>0</v>
      </c>
      <c r="L62" s="167">
        <f t="shared" si="43"/>
        <v>0</v>
      </c>
      <c r="M62" s="167">
        <f t="shared" si="43"/>
        <v>0</v>
      </c>
      <c r="N62" s="167">
        <f t="shared" si="43"/>
        <v>0</v>
      </c>
      <c r="O62" s="167">
        <f t="shared" si="43"/>
        <v>0</v>
      </c>
      <c r="P62" s="167">
        <f t="shared" si="43"/>
        <v>0</v>
      </c>
      <c r="Q62" s="167">
        <f t="shared" si="43"/>
        <v>0</v>
      </c>
    </row>
    <row r="63" spans="1:17">
      <c r="A63" s="165" t="str">
        <f>A57</f>
        <v>Accumulated Depreciation</v>
      </c>
      <c r="B63" s="165"/>
      <c r="C63" s="167">
        <f>C62</f>
        <v>0</v>
      </c>
      <c r="D63" s="167">
        <f t="shared" ref="D63:I63" si="44">D62+C63</f>
        <v>0</v>
      </c>
      <c r="E63" s="167">
        <f t="shared" si="44"/>
        <v>0</v>
      </c>
      <c r="F63" s="167">
        <f t="shared" si="44"/>
        <v>0</v>
      </c>
      <c r="G63" s="167">
        <f t="shared" si="44"/>
        <v>0</v>
      </c>
      <c r="H63" s="167">
        <f t="shared" si="44"/>
        <v>0</v>
      </c>
      <c r="I63" s="167">
        <f t="shared" si="44"/>
        <v>0</v>
      </c>
      <c r="J63" s="99"/>
      <c r="K63" s="167">
        <f>K62</f>
        <v>0</v>
      </c>
      <c r="L63" s="167">
        <f t="shared" ref="L63:Q63" si="45">L62+K63</f>
        <v>0</v>
      </c>
      <c r="M63" s="167">
        <f t="shared" si="45"/>
        <v>0</v>
      </c>
      <c r="N63" s="167">
        <f t="shared" si="45"/>
        <v>0</v>
      </c>
      <c r="O63" s="167">
        <f t="shared" si="45"/>
        <v>0</v>
      </c>
      <c r="P63" s="167">
        <f t="shared" si="45"/>
        <v>0</v>
      </c>
      <c r="Q63" s="167">
        <f t="shared" si="45"/>
        <v>0</v>
      </c>
    </row>
    <row r="64" spans="1:17">
      <c r="A64" s="165" t="str">
        <f>A58</f>
        <v>Net Fixed Assets</v>
      </c>
      <c r="B64" s="165"/>
      <c r="C64" s="167">
        <f t="shared" ref="C64:I64" si="46">C61-C62</f>
        <v>0</v>
      </c>
      <c r="D64" s="167">
        <f t="shared" si="46"/>
        <v>0</v>
      </c>
      <c r="E64" s="167">
        <f t="shared" si="46"/>
        <v>0</v>
      </c>
      <c r="F64" s="167">
        <f t="shared" si="46"/>
        <v>0</v>
      </c>
      <c r="G64" s="167">
        <f t="shared" si="46"/>
        <v>0</v>
      </c>
      <c r="H64" s="167">
        <f t="shared" si="46"/>
        <v>0</v>
      </c>
      <c r="I64" s="167">
        <f t="shared" si="46"/>
        <v>0</v>
      </c>
      <c r="J64" s="99"/>
      <c r="K64" s="167">
        <f t="shared" ref="K64:Q64" si="47">K61-K62</f>
        <v>0</v>
      </c>
      <c r="L64" s="167">
        <f t="shared" si="47"/>
        <v>0</v>
      </c>
      <c r="M64" s="167">
        <f t="shared" si="47"/>
        <v>0</v>
      </c>
      <c r="N64" s="167">
        <f t="shared" si="47"/>
        <v>0</v>
      </c>
      <c r="O64" s="167">
        <f t="shared" si="47"/>
        <v>0</v>
      </c>
      <c r="P64" s="167">
        <f t="shared" si="47"/>
        <v>0</v>
      </c>
      <c r="Q64" s="167">
        <f t="shared" si="47"/>
        <v>0</v>
      </c>
    </row>
    <row r="65" spans="1:17">
      <c r="A65" s="166" t="s">
        <v>169</v>
      </c>
      <c r="B65" s="166"/>
      <c r="C65" s="168">
        <f t="shared" ref="C65:I68" si="48">C49+C43+C37+C55+C61</f>
        <v>48390698.730000004</v>
      </c>
      <c r="D65" s="168">
        <f t="shared" si="48"/>
        <v>45838016.733059004</v>
      </c>
      <c r="E65" s="168">
        <f t="shared" si="48"/>
        <v>43285334.736118004</v>
      </c>
      <c r="F65" s="168">
        <f t="shared" si="48"/>
        <v>40732652.739177004</v>
      </c>
      <c r="G65" s="168">
        <f t="shared" si="48"/>
        <v>38179970.742236003</v>
      </c>
      <c r="H65" s="168">
        <f t="shared" si="48"/>
        <v>35627288.745295003</v>
      </c>
      <c r="I65" s="168">
        <f t="shared" si="48"/>
        <v>33074606.748353999</v>
      </c>
      <c r="J65" s="99"/>
      <c r="K65" s="168">
        <f t="shared" ref="K65:Q68" si="49">K49+K43+K37+K55+K61</f>
        <v>48390698.730000004</v>
      </c>
      <c r="L65" s="168">
        <f t="shared" si="49"/>
        <v>41939766.756999999</v>
      </c>
      <c r="M65" s="168">
        <f t="shared" si="49"/>
        <v>36375707.296299994</v>
      </c>
      <c r="N65" s="168">
        <f t="shared" si="49"/>
        <v>31573566.199419998</v>
      </c>
      <c r="O65" s="168">
        <f t="shared" si="49"/>
        <v>27426324.767315496</v>
      </c>
      <c r="P65" s="168">
        <f t="shared" si="49"/>
        <v>23842290.20024582</v>
      </c>
      <c r="Q65" s="168">
        <f t="shared" si="49"/>
        <v>20742869.403433833</v>
      </c>
    </row>
    <row r="66" spans="1:17">
      <c r="A66" s="166" t="s">
        <v>170</v>
      </c>
      <c r="B66" s="166"/>
      <c r="C66" s="168">
        <f t="shared" si="48"/>
        <v>2552681.9969409998</v>
      </c>
      <c r="D66" s="168">
        <f t="shared" si="48"/>
        <v>2552681.9969409998</v>
      </c>
      <c r="E66" s="168">
        <f t="shared" si="48"/>
        <v>2552681.9969409998</v>
      </c>
      <c r="F66" s="168">
        <f t="shared" si="48"/>
        <v>2552681.9969409998</v>
      </c>
      <c r="G66" s="168">
        <f t="shared" si="48"/>
        <v>2552681.9969409998</v>
      </c>
      <c r="H66" s="168">
        <f t="shared" si="48"/>
        <v>2552681.9969409998</v>
      </c>
      <c r="I66" s="168">
        <f t="shared" si="48"/>
        <v>2552681.9969409998</v>
      </c>
      <c r="J66" s="99"/>
      <c r="K66" s="168">
        <f t="shared" si="49"/>
        <v>6450931.9730000002</v>
      </c>
      <c r="L66" s="168">
        <f t="shared" si="49"/>
        <v>5564059.4606999997</v>
      </c>
      <c r="M66" s="168">
        <f t="shared" si="49"/>
        <v>4802141.0968800001</v>
      </c>
      <c r="N66" s="168">
        <f t="shared" si="49"/>
        <v>4147241.4321044995</v>
      </c>
      <c r="O66" s="168">
        <f t="shared" si="49"/>
        <v>3584034.5670696748</v>
      </c>
      <c r="P66" s="168">
        <f t="shared" si="49"/>
        <v>3099420.7968119881</v>
      </c>
      <c r="Q66" s="168">
        <f t="shared" si="49"/>
        <v>2682199.9506126782</v>
      </c>
    </row>
    <row r="67" spans="1:17">
      <c r="A67" s="166" t="s">
        <v>171</v>
      </c>
      <c r="B67" s="166"/>
      <c r="C67" s="168">
        <f t="shared" si="48"/>
        <v>2552681.9969409998</v>
      </c>
      <c r="D67" s="168">
        <f t="shared" si="48"/>
        <v>5105363.9938819995</v>
      </c>
      <c r="E67" s="168">
        <f t="shared" si="48"/>
        <v>7658045.9908229997</v>
      </c>
      <c r="F67" s="168">
        <f t="shared" si="48"/>
        <v>10210727.987763999</v>
      </c>
      <c r="G67" s="168">
        <f t="shared" si="48"/>
        <v>12763409.984704997</v>
      </c>
      <c r="H67" s="168">
        <f t="shared" si="48"/>
        <v>15316091.981645998</v>
      </c>
      <c r="I67" s="168">
        <f t="shared" si="48"/>
        <v>17868773.978586998</v>
      </c>
      <c r="J67" s="99"/>
      <c r="K67" s="168">
        <f t="shared" si="49"/>
        <v>6450931.9730000002</v>
      </c>
      <c r="L67" s="168">
        <f t="shared" si="49"/>
        <v>12014991.433699999</v>
      </c>
      <c r="M67" s="168">
        <f t="shared" si="49"/>
        <v>16817132.530579999</v>
      </c>
      <c r="N67" s="168">
        <f t="shared" si="49"/>
        <v>20964373.962684497</v>
      </c>
      <c r="O67" s="168">
        <f t="shared" si="49"/>
        <v>24548408.529754173</v>
      </c>
      <c r="P67" s="168">
        <f t="shared" si="49"/>
        <v>27647829.326566163</v>
      </c>
      <c r="Q67" s="168">
        <f t="shared" si="49"/>
        <v>30330029.277178843</v>
      </c>
    </row>
    <row r="68" spans="1:17">
      <c r="A68" s="166" t="s">
        <v>165</v>
      </c>
      <c r="B68" s="166"/>
      <c r="C68" s="168">
        <f t="shared" si="48"/>
        <v>45838016.733059004</v>
      </c>
      <c r="D68" s="168">
        <f t="shared" si="48"/>
        <v>43285334.736118004</v>
      </c>
      <c r="E68" s="168">
        <f t="shared" si="48"/>
        <v>40732652.739177004</v>
      </c>
      <c r="F68" s="168">
        <f t="shared" si="48"/>
        <v>38179970.742236003</v>
      </c>
      <c r="G68" s="168">
        <f t="shared" si="48"/>
        <v>35627288.745295003</v>
      </c>
      <c r="H68" s="168">
        <f t="shared" si="48"/>
        <v>33074606.748353999</v>
      </c>
      <c r="I68" s="168">
        <f t="shared" si="48"/>
        <v>30521924.751412999</v>
      </c>
      <c r="J68" s="99"/>
      <c r="K68" s="168">
        <f t="shared" si="49"/>
        <v>41939766.756999999</v>
      </c>
      <c r="L68" s="168">
        <f t="shared" si="49"/>
        <v>36375707.296299994</v>
      </c>
      <c r="M68" s="168">
        <f t="shared" si="49"/>
        <v>31573566.199419998</v>
      </c>
      <c r="N68" s="168">
        <f t="shared" si="49"/>
        <v>27426324.767315496</v>
      </c>
      <c r="O68" s="168">
        <f t="shared" si="49"/>
        <v>23842290.20024582</v>
      </c>
      <c r="P68" s="168">
        <f t="shared" si="49"/>
        <v>20742869.403433833</v>
      </c>
      <c r="Q68" s="168">
        <f t="shared" si="49"/>
        <v>18060669.452821154</v>
      </c>
    </row>
    <row r="69" spans="1:17">
      <c r="A69" s="171"/>
      <c r="B69" s="171"/>
      <c r="C69" s="172"/>
      <c r="D69" s="172"/>
      <c r="E69" s="172"/>
      <c r="F69" s="172"/>
      <c r="G69" s="172"/>
      <c r="H69" s="172"/>
      <c r="I69" s="172"/>
      <c r="J69" s="94"/>
    </row>
    <row r="70" spans="1:17">
      <c r="A70" s="94"/>
      <c r="B70" s="94"/>
      <c r="C70" s="94"/>
      <c r="D70" s="94"/>
      <c r="E70" s="94"/>
      <c r="F70" s="94"/>
      <c r="G70" s="94"/>
      <c r="H70" s="94"/>
      <c r="I70" s="94"/>
      <c r="J70" s="94"/>
    </row>
    <row r="71" spans="1:17" ht="29.25">
      <c r="A71" s="173" t="s">
        <v>172</v>
      </c>
      <c r="B71" s="174" t="s">
        <v>173</v>
      </c>
      <c r="C71" s="175" t="s">
        <v>174</v>
      </c>
      <c r="D71" s="94"/>
      <c r="E71" s="94"/>
      <c r="F71" s="94"/>
      <c r="G71" s="94"/>
      <c r="H71" s="94"/>
      <c r="I71" s="94"/>
      <c r="J71" s="94"/>
    </row>
    <row r="72" spans="1:17" ht="29.25">
      <c r="A72" s="176" t="s">
        <v>175</v>
      </c>
      <c r="B72" s="174" t="s">
        <v>176</v>
      </c>
      <c r="C72" s="175" t="s">
        <v>177</v>
      </c>
      <c r="D72" s="94"/>
      <c r="E72" s="94"/>
      <c r="F72" s="94"/>
      <c r="G72" s="94"/>
      <c r="H72" s="94"/>
      <c r="I72" s="94"/>
      <c r="J72" s="94"/>
    </row>
    <row r="73" spans="1:17">
      <c r="A73" s="176" t="s">
        <v>113</v>
      </c>
      <c r="B73" s="177">
        <v>0</v>
      </c>
      <c r="C73" s="177">
        <v>0</v>
      </c>
      <c r="D73" s="94"/>
      <c r="E73" s="94"/>
      <c r="F73" s="94"/>
      <c r="G73" s="94"/>
      <c r="H73" s="94"/>
      <c r="I73" s="94"/>
      <c r="J73" s="94"/>
    </row>
    <row r="74" spans="1:17">
      <c r="A74" s="178" t="s">
        <v>166</v>
      </c>
      <c r="B74" s="177">
        <v>3.1699999999999999E-2</v>
      </c>
      <c r="C74" s="177">
        <v>0.1</v>
      </c>
      <c r="D74" s="179"/>
      <c r="E74" s="94"/>
      <c r="F74" s="94"/>
      <c r="G74" s="94"/>
      <c r="H74" s="94"/>
      <c r="I74" s="94"/>
      <c r="J74" s="94"/>
    </row>
    <row r="75" spans="1:17">
      <c r="A75" s="178" t="s">
        <v>168</v>
      </c>
      <c r="B75" s="180">
        <v>0.1</v>
      </c>
      <c r="C75" s="177">
        <v>0.1</v>
      </c>
      <c r="D75" s="94"/>
      <c r="E75" s="94"/>
      <c r="F75" s="94"/>
      <c r="G75" s="94"/>
      <c r="H75" s="94"/>
      <c r="I75" s="94"/>
      <c r="J75" s="94"/>
    </row>
    <row r="76" spans="1:17">
      <c r="A76" s="94" t="s">
        <v>178</v>
      </c>
      <c r="B76" s="180">
        <v>0.1</v>
      </c>
      <c r="C76" s="180">
        <v>0.4</v>
      </c>
      <c r="D76" s="94"/>
      <c r="E76" s="94"/>
      <c r="F76" s="94"/>
      <c r="G76" s="94"/>
      <c r="H76" s="94"/>
      <c r="I76" s="94"/>
      <c r="J76" s="94"/>
    </row>
    <row r="77" spans="1:17">
      <c r="A77" s="94" t="s">
        <v>231</v>
      </c>
      <c r="B77" s="180">
        <v>0.1188</v>
      </c>
      <c r="C77" s="180">
        <v>0.15</v>
      </c>
      <c r="D77" s="94"/>
      <c r="E77" s="94"/>
      <c r="F77" s="94"/>
      <c r="G77" s="94"/>
      <c r="H77" s="94"/>
      <c r="I77" s="94"/>
      <c r="J77" s="94"/>
    </row>
    <row r="78" spans="1:17">
      <c r="A78" s="178" t="s">
        <v>179</v>
      </c>
      <c r="B78" s="180">
        <v>6.3299999999999995E-2</v>
      </c>
      <c r="C78" s="180">
        <v>0.15</v>
      </c>
      <c r="D78" s="94"/>
      <c r="E78" s="94"/>
      <c r="F78" s="94"/>
      <c r="G78" s="94"/>
      <c r="H78" s="94"/>
      <c r="I78" s="94"/>
      <c r="J78" s="94"/>
    </row>
    <row r="79" spans="1:17" ht="29.25">
      <c r="A79" s="176" t="s">
        <v>172</v>
      </c>
      <c r="B79" s="177"/>
      <c r="C79" s="181"/>
      <c r="D79" s="94"/>
      <c r="E79" s="94"/>
      <c r="F79" s="94"/>
      <c r="G79" s="94"/>
      <c r="H79" s="94"/>
      <c r="I79" s="94"/>
      <c r="J79" s="94"/>
    </row>
    <row r="80" spans="1:17">
      <c r="A80" s="178" t="s">
        <v>180</v>
      </c>
      <c r="B80" s="181">
        <v>0.2</v>
      </c>
      <c r="C80" s="182">
        <v>0.2</v>
      </c>
      <c r="D80" s="94"/>
      <c r="E80" s="94"/>
      <c r="F80" s="94"/>
      <c r="G80" s="94"/>
      <c r="H80" s="94"/>
      <c r="I80" s="94"/>
      <c r="J80" s="94"/>
    </row>
    <row r="81" spans="1:12">
      <c r="A81" s="94"/>
      <c r="B81" s="94"/>
      <c r="C81" s="94"/>
      <c r="D81" s="94"/>
      <c r="E81" s="94"/>
      <c r="F81" s="94"/>
      <c r="G81" s="94"/>
      <c r="H81" s="94"/>
      <c r="I81" s="94"/>
      <c r="J81" s="94"/>
    </row>
    <row r="82" spans="1:12">
      <c r="A82" s="94"/>
      <c r="B82" s="94"/>
      <c r="C82" s="94"/>
      <c r="D82" s="94"/>
      <c r="E82" s="183"/>
      <c r="F82" s="94"/>
      <c r="G82" s="94"/>
      <c r="H82" s="94"/>
      <c r="I82" s="94"/>
      <c r="J82" s="94"/>
    </row>
    <row r="83" spans="1:12" s="65" customFormat="1" ht="18.75">
      <c r="A83" s="425" t="s">
        <v>514</v>
      </c>
      <c r="B83" s="425"/>
      <c r="C83" s="425"/>
      <c r="D83" s="425"/>
      <c r="E83" s="425"/>
      <c r="F83" s="425"/>
      <c r="G83" s="425"/>
      <c r="H83" s="425"/>
      <c r="I83" s="425"/>
      <c r="J83" s="425"/>
    </row>
    <row r="84" spans="1:12" s="65" customFormat="1">
      <c r="A84" s="35"/>
      <c r="B84" s="35"/>
    </row>
    <row r="85" spans="1:12" s="65" customFormat="1">
      <c r="A85" s="153" t="s">
        <v>0</v>
      </c>
      <c r="B85" s="154" t="s">
        <v>297</v>
      </c>
      <c r="C85" s="155" t="s">
        <v>2</v>
      </c>
      <c r="D85" s="155" t="s">
        <v>3</v>
      </c>
      <c r="E85" s="155" t="s">
        <v>4</v>
      </c>
      <c r="F85" s="155" t="s">
        <v>5</v>
      </c>
      <c r="G85" s="155" t="s">
        <v>6</v>
      </c>
      <c r="H85" s="155" t="s">
        <v>134</v>
      </c>
      <c r="I85" s="155" t="s">
        <v>133</v>
      </c>
      <c r="J85" s="38"/>
      <c r="K85" s="38"/>
      <c r="L85" s="38"/>
    </row>
    <row r="86" spans="1:12" s="65" customFormat="1">
      <c r="A86" s="156" t="s">
        <v>209</v>
      </c>
      <c r="B86" s="157">
        <v>5</v>
      </c>
      <c r="C86" s="158">
        <f>'1.Project Cost and MOF'!$D$10/5</f>
        <v>76720</v>
      </c>
      <c r="D86" s="158">
        <f>'1.Project Cost and MOF'!$D$10/5</f>
        <v>76720</v>
      </c>
      <c r="E86" s="158">
        <f>'1.Project Cost and MOF'!$D$10/5</f>
        <v>76720</v>
      </c>
      <c r="F86" s="158">
        <f>'1.Project Cost and MOF'!$D$10/5</f>
        <v>76720</v>
      </c>
      <c r="G86" s="158">
        <f>'1.Project Cost and MOF'!$D$10/5</f>
        <v>76720</v>
      </c>
      <c r="H86" s="158">
        <v>0</v>
      </c>
      <c r="I86" s="158">
        <v>0</v>
      </c>
      <c r="J86" s="38"/>
      <c r="K86" s="38"/>
      <c r="L86" s="38"/>
    </row>
    <row r="87" spans="1:12" s="65" customFormat="1">
      <c r="A87" s="159" t="s">
        <v>298</v>
      </c>
      <c r="B87" s="160"/>
      <c r="C87" s="161">
        <f t="shared" ref="C87:I87" si="50">SUM(C85:C86)</f>
        <v>76720</v>
      </c>
      <c r="D87" s="161">
        <f t="shared" si="50"/>
        <v>76720</v>
      </c>
      <c r="E87" s="161">
        <f t="shared" si="50"/>
        <v>76720</v>
      </c>
      <c r="F87" s="161">
        <f t="shared" si="50"/>
        <v>76720</v>
      </c>
      <c r="G87" s="161">
        <f t="shared" si="50"/>
        <v>76720</v>
      </c>
      <c r="H87" s="161">
        <f t="shared" si="50"/>
        <v>0</v>
      </c>
      <c r="I87" s="161">
        <f t="shared" si="50"/>
        <v>0</v>
      </c>
      <c r="J87" s="66"/>
      <c r="K87" s="66"/>
      <c r="L87" s="66"/>
    </row>
    <row r="88" spans="1:12" s="65" customFormat="1">
      <c r="C88" s="38"/>
      <c r="D88" s="38"/>
      <c r="E88" s="38"/>
      <c r="F88" s="38"/>
      <c r="G88" s="38"/>
      <c r="H88" s="38"/>
      <c r="I88" s="38"/>
      <c r="J88" s="38"/>
      <c r="K88" s="38"/>
      <c r="L88" s="38"/>
    </row>
    <row r="91" spans="1:12">
      <c r="A91" s="33"/>
      <c r="B91" s="34"/>
      <c r="C91" s="34"/>
      <c r="D91" s="34"/>
      <c r="E91" s="34"/>
      <c r="F91" s="34"/>
      <c r="G91" s="34"/>
      <c r="H91" s="34"/>
      <c r="I91" s="34"/>
      <c r="J91" s="34"/>
      <c r="K91" s="34"/>
    </row>
    <row r="92" spans="1:12" ht="18.75">
      <c r="A92" s="435" t="s">
        <v>515</v>
      </c>
      <c r="B92" s="435"/>
      <c r="C92" s="435"/>
      <c r="D92" s="435"/>
      <c r="E92" s="435"/>
      <c r="F92" s="435"/>
      <c r="G92" s="435"/>
      <c r="H92" s="435"/>
      <c r="I92" s="150"/>
      <c r="J92" s="150"/>
      <c r="K92" s="150"/>
    </row>
    <row r="93" spans="1:12">
      <c r="A93" s="35"/>
      <c r="B93" s="34"/>
      <c r="C93" s="34"/>
      <c r="D93" s="34"/>
      <c r="E93" s="34"/>
      <c r="F93" s="34"/>
      <c r="G93" s="34"/>
      <c r="H93" s="34"/>
      <c r="I93" s="34"/>
      <c r="J93" s="34"/>
      <c r="K93" s="34"/>
    </row>
    <row r="94" spans="1:12">
      <c r="A94" s="148" t="s">
        <v>0</v>
      </c>
      <c r="B94" s="120" t="s">
        <v>2</v>
      </c>
      <c r="C94" s="120" t="s">
        <v>3</v>
      </c>
      <c r="D94" s="120" t="s">
        <v>4</v>
      </c>
      <c r="E94" s="120" t="s">
        <v>5</v>
      </c>
      <c r="F94" s="120" t="s">
        <v>6</v>
      </c>
      <c r="G94" s="120" t="s">
        <v>134</v>
      </c>
      <c r="H94" s="120" t="s">
        <v>133</v>
      </c>
      <c r="I94" s="28"/>
      <c r="J94" s="28"/>
      <c r="K94" s="28"/>
    </row>
    <row r="95" spans="1:12">
      <c r="A95" s="88" t="s">
        <v>181</v>
      </c>
      <c r="B95" s="151">
        <f>'6.Cons Profit &amp; Loss'!B49</f>
        <v>3328726.268885145</v>
      </c>
      <c r="C95" s="151">
        <f>'6.Cons Profit &amp; Loss'!C49</f>
        <v>5145272.720186404</v>
      </c>
      <c r="D95" s="151">
        <f>'6.Cons Profit &amp; Loss'!D49</f>
        <v>7495096.2246295149</v>
      </c>
      <c r="E95" s="151">
        <f>'6.Cons Profit &amp; Loss'!E49</f>
        <v>9398691.8691522647</v>
      </c>
      <c r="F95" s="151">
        <f>'6.Cons Profit &amp; Loss'!F49</f>
        <v>10701551.145515114</v>
      </c>
      <c r="G95" s="151">
        <f>'6.Cons Profit &amp; Loss'!G49</f>
        <v>11838239.238889469</v>
      </c>
      <c r="H95" s="151">
        <f>'6.Cons Profit &amp; Loss'!H49</f>
        <v>12528005.284256939</v>
      </c>
      <c r="I95" s="37"/>
      <c r="J95" s="37"/>
      <c r="K95" s="37"/>
    </row>
    <row r="96" spans="1:12">
      <c r="A96" s="88" t="s">
        <v>182</v>
      </c>
      <c r="B96" s="151">
        <f>'6.Cons Profit &amp; Loss'!B42</f>
        <v>6450931.9730000002</v>
      </c>
      <c r="C96" s="151">
        <f>'6.Cons Profit &amp; Loss'!C42</f>
        <v>5564059.4606999997</v>
      </c>
      <c r="D96" s="151">
        <f>'6.Cons Profit &amp; Loss'!D42</f>
        <v>4802141.0968800001</v>
      </c>
      <c r="E96" s="151">
        <f>'6.Cons Profit &amp; Loss'!E42</f>
        <v>4147241.4321044995</v>
      </c>
      <c r="F96" s="151">
        <f>'6.Cons Profit &amp; Loss'!F42</f>
        <v>3584034.5670696748</v>
      </c>
      <c r="G96" s="151">
        <f>'6.Cons Profit &amp; Loss'!G42</f>
        <v>3099420.7968119881</v>
      </c>
      <c r="H96" s="151">
        <f>'6.Cons Profit &amp; Loss'!H42</f>
        <v>2682199.9506126782</v>
      </c>
      <c r="I96" s="37"/>
      <c r="J96" s="37"/>
      <c r="K96" s="37"/>
    </row>
    <row r="97" spans="1:11">
      <c r="A97" s="88" t="s">
        <v>183</v>
      </c>
      <c r="B97" s="151">
        <f>'3.Other Exp &amp; Taxes'!K66</f>
        <v>6450931.9730000002</v>
      </c>
      <c r="C97" s="151">
        <f>'3.Other Exp &amp; Taxes'!L66</f>
        <v>5564059.4606999997</v>
      </c>
      <c r="D97" s="151">
        <f>'3.Other Exp &amp; Taxes'!M66</f>
        <v>4802141.0968800001</v>
      </c>
      <c r="E97" s="151">
        <f>'3.Other Exp &amp; Taxes'!N66</f>
        <v>4147241.4321044995</v>
      </c>
      <c r="F97" s="151">
        <f>'3.Other Exp &amp; Taxes'!O66</f>
        <v>3584034.5670696748</v>
      </c>
      <c r="G97" s="151">
        <f>'3.Other Exp &amp; Taxes'!P66</f>
        <v>3099420.7968119881</v>
      </c>
      <c r="H97" s="151">
        <f>'3.Other Exp &amp; Taxes'!Q66</f>
        <v>2682199.9506126782</v>
      </c>
      <c r="I97" s="37"/>
      <c r="J97" s="37"/>
      <c r="K97" s="37"/>
    </row>
    <row r="98" spans="1:11">
      <c r="A98" s="88" t="s">
        <v>244</v>
      </c>
      <c r="B98" s="151">
        <f t="shared" ref="B98:H98" si="51">B95+B96-B97</f>
        <v>3328726.268885144</v>
      </c>
      <c r="C98" s="151">
        <f t="shared" si="51"/>
        <v>5145272.720186403</v>
      </c>
      <c r="D98" s="151">
        <f t="shared" si="51"/>
        <v>7495096.2246295139</v>
      </c>
      <c r="E98" s="151">
        <f t="shared" si="51"/>
        <v>9398691.8691522647</v>
      </c>
      <c r="F98" s="151">
        <f t="shared" si="51"/>
        <v>10701551.145515114</v>
      </c>
      <c r="G98" s="151">
        <f t="shared" si="51"/>
        <v>11838239.238889469</v>
      </c>
      <c r="H98" s="151">
        <f t="shared" si="51"/>
        <v>12528005.284256939</v>
      </c>
      <c r="I98" s="37"/>
      <c r="J98" s="37"/>
      <c r="K98" s="37"/>
    </row>
    <row r="99" spans="1:11">
      <c r="A99" s="90" t="s">
        <v>184</v>
      </c>
      <c r="B99" s="152">
        <f t="shared" ref="B99:H99" si="52">B98*$B$102</f>
        <v>865468.82991013746</v>
      </c>
      <c r="C99" s="152">
        <f t="shared" si="52"/>
        <v>1337770.9072484649</v>
      </c>
      <c r="D99" s="152">
        <f t="shared" si="52"/>
        <v>1948725.0184036738</v>
      </c>
      <c r="E99" s="152">
        <f t="shared" si="52"/>
        <v>2443659.8859795891</v>
      </c>
      <c r="F99" s="152">
        <f t="shared" si="52"/>
        <v>2782403.2978339298</v>
      </c>
      <c r="G99" s="152">
        <f t="shared" si="52"/>
        <v>3077942.2021112619</v>
      </c>
      <c r="H99" s="152">
        <f t="shared" si="52"/>
        <v>3257281.3739068042</v>
      </c>
      <c r="I99" s="37"/>
      <c r="J99" s="37"/>
      <c r="K99" s="37"/>
    </row>
    <row r="100" spans="1:11">
      <c r="A100" s="36"/>
      <c r="B100" s="34"/>
      <c r="C100" s="34"/>
      <c r="D100" s="34"/>
      <c r="E100" s="34"/>
      <c r="F100" s="34"/>
      <c r="G100" s="34"/>
      <c r="H100" s="34"/>
      <c r="I100" s="34"/>
      <c r="J100" s="34"/>
      <c r="K100" s="34"/>
    </row>
    <row r="101" spans="1:11">
      <c r="A101" s="36"/>
      <c r="B101" s="38"/>
      <c r="C101" s="38"/>
      <c r="D101" s="38"/>
      <c r="E101" s="38"/>
      <c r="F101" s="38"/>
      <c r="G101" s="38"/>
      <c r="H101" s="38"/>
      <c r="I101" s="38"/>
      <c r="J101" s="38"/>
      <c r="K101" s="38"/>
    </row>
    <row r="102" spans="1:11">
      <c r="A102" s="39" t="s">
        <v>354</v>
      </c>
      <c r="B102" s="285">
        <v>0.26</v>
      </c>
      <c r="C102" s="38"/>
      <c r="D102" s="38"/>
      <c r="E102" s="38"/>
      <c r="F102" s="38"/>
      <c r="G102" s="38"/>
      <c r="H102" s="38"/>
      <c r="I102" s="38"/>
      <c r="J102" s="38"/>
      <c r="K102" s="38"/>
    </row>
    <row r="103" spans="1:11">
      <c r="A103" s="34"/>
      <c r="B103" s="34"/>
      <c r="C103" s="34"/>
      <c r="D103" s="34"/>
      <c r="E103" s="34"/>
      <c r="F103" s="34"/>
      <c r="G103" s="34"/>
      <c r="H103" s="34"/>
      <c r="I103" s="34"/>
      <c r="J103" s="34"/>
      <c r="K103" s="34"/>
    </row>
    <row r="104" spans="1:11" ht="29.1" customHeight="1">
      <c r="A104" s="436" t="s">
        <v>386</v>
      </c>
      <c r="B104" s="436"/>
      <c r="C104" s="436"/>
      <c r="D104" s="436"/>
      <c r="E104" s="436"/>
      <c r="F104" s="436"/>
      <c r="G104" s="436"/>
      <c r="H104" s="436"/>
      <c r="I104" s="32"/>
      <c r="J104" s="32"/>
      <c r="K104" s="32"/>
    </row>
  </sheetData>
  <mergeCells count="7">
    <mergeCell ref="A83:J83"/>
    <mergeCell ref="A92:H92"/>
    <mergeCell ref="A104:H104"/>
    <mergeCell ref="A2:K2"/>
    <mergeCell ref="A28:O28"/>
    <mergeCell ref="C31:I31"/>
    <mergeCell ref="K31:Q31"/>
  </mergeCells>
  <pageMargins left="0.70866141732283472" right="0.70866141732283472" top="0.74803149606299213" bottom="0.74803149606299213" header="0.31496062992125984" footer="0.31496062992125984"/>
  <pageSetup paperSize="9" scale="30" orientation="landscape" r:id="rId1"/>
  <colBreaks count="1" manualBreakCount="1">
    <brk id="11" max="10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98"/>
  <sheetViews>
    <sheetView view="pageBreakPreview" zoomScale="80" zoomScaleSheetLayoutView="80" workbookViewId="0">
      <selection activeCell="A45" sqref="A45"/>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23" t="s">
        <v>516</v>
      </c>
      <c r="B2" s="423"/>
      <c r="C2" s="423"/>
      <c r="D2" s="423"/>
      <c r="E2" s="423"/>
      <c r="F2" s="423"/>
      <c r="G2" s="440"/>
    </row>
    <row r="3" spans="1:7">
      <c r="B3" s="15"/>
      <c r="C3" s="15"/>
      <c r="D3" s="15"/>
      <c r="E3" s="15"/>
      <c r="F3" s="15"/>
      <c r="G3" s="15"/>
    </row>
    <row r="4" spans="1:7">
      <c r="A4" s="94"/>
      <c r="B4" s="94"/>
      <c r="C4" s="94" t="s">
        <v>432</v>
      </c>
      <c r="D4" s="112">
        <f>'1.Project Cost and MOF'!E20</f>
        <v>14632289.619000003</v>
      </c>
      <c r="E4" s="94"/>
      <c r="F4" s="94"/>
      <c r="G4" s="94"/>
    </row>
    <row r="5" spans="1:7">
      <c r="A5" s="94"/>
      <c r="B5" s="94"/>
      <c r="C5" s="94" t="s">
        <v>433</v>
      </c>
      <c r="D5" s="279">
        <v>0.12</v>
      </c>
      <c r="E5" s="94"/>
      <c r="F5" s="94"/>
      <c r="G5" s="94"/>
    </row>
    <row r="6" spans="1:7">
      <c r="A6" s="94"/>
      <c r="B6" s="94"/>
      <c r="C6" s="94" t="s">
        <v>434</v>
      </c>
      <c r="D6" s="280">
        <v>3</v>
      </c>
      <c r="E6" s="94"/>
      <c r="F6" s="94"/>
      <c r="G6" s="94"/>
    </row>
    <row r="7" spans="1:7">
      <c r="A7" s="94"/>
      <c r="B7" s="94"/>
      <c r="C7" s="94" t="s">
        <v>435</v>
      </c>
      <c r="D7" s="280">
        <v>6</v>
      </c>
      <c r="E7" s="94"/>
      <c r="F7" s="94"/>
      <c r="G7" s="94"/>
    </row>
    <row r="8" spans="1:7">
      <c r="A8" s="94"/>
      <c r="B8" s="94"/>
      <c r="C8" s="94" t="s">
        <v>22</v>
      </c>
      <c r="D8" s="210">
        <f>PMT(D5/12,(D6-(D7/12))*12,-D4)</f>
        <v>566973.61476407701</v>
      </c>
      <c r="E8" s="210"/>
      <c r="F8" s="268"/>
      <c r="G8" s="94"/>
    </row>
    <row r="9" spans="1:7">
      <c r="A9" s="148" t="s">
        <v>245</v>
      </c>
      <c r="B9" s="211" t="s">
        <v>18</v>
      </c>
      <c r="C9" s="212" t="s">
        <v>19</v>
      </c>
      <c r="D9" s="212" t="s">
        <v>20</v>
      </c>
      <c r="E9" s="212" t="s">
        <v>21</v>
      </c>
      <c r="F9" s="212" t="s">
        <v>22</v>
      </c>
      <c r="G9" s="212" t="s">
        <v>23</v>
      </c>
    </row>
    <row r="10" spans="1:7">
      <c r="A10" s="95" t="s">
        <v>11</v>
      </c>
      <c r="B10" s="95" t="s">
        <v>52</v>
      </c>
      <c r="C10" s="96">
        <f>D4</f>
        <v>14632289.619000003</v>
      </c>
      <c r="D10" s="96">
        <f t="shared" ref="D10:D41" si="0">C10*$D$5/12</f>
        <v>146322.89619000003</v>
      </c>
      <c r="E10" s="96">
        <f t="shared" ref="E10:E15" si="1">F10-D10</f>
        <v>0</v>
      </c>
      <c r="F10" s="96">
        <f>D10</f>
        <v>146322.89619000003</v>
      </c>
      <c r="G10" s="96">
        <f>C10-E10</f>
        <v>14632289.619000003</v>
      </c>
    </row>
    <row r="11" spans="1:7">
      <c r="A11" s="95"/>
      <c r="B11" s="95" t="s">
        <v>53</v>
      </c>
      <c r="C11" s="96">
        <f>G10</f>
        <v>14632289.619000003</v>
      </c>
      <c r="D11" s="96">
        <f t="shared" si="0"/>
        <v>146322.89619000003</v>
      </c>
      <c r="E11" s="96">
        <f t="shared" si="1"/>
        <v>0</v>
      </c>
      <c r="F11" s="96">
        <f t="shared" ref="F11:F15" si="2">D11</f>
        <v>146322.89619000003</v>
      </c>
      <c r="G11" s="96">
        <f t="shared" ref="G11:G45" si="3">C11-E11</f>
        <v>14632289.619000003</v>
      </c>
    </row>
    <row r="12" spans="1:7">
      <c r="A12" s="95"/>
      <c r="B12" s="95" t="s">
        <v>54</v>
      </c>
      <c r="C12" s="96">
        <f t="shared" ref="C12:C45" si="4">G11</f>
        <v>14632289.619000003</v>
      </c>
      <c r="D12" s="96">
        <f t="shared" si="0"/>
        <v>146322.89619000003</v>
      </c>
      <c r="E12" s="96">
        <f t="shared" si="1"/>
        <v>0</v>
      </c>
      <c r="F12" s="96">
        <f t="shared" si="2"/>
        <v>146322.89619000003</v>
      </c>
      <c r="G12" s="96">
        <f t="shared" si="3"/>
        <v>14632289.619000003</v>
      </c>
    </row>
    <row r="13" spans="1:7">
      <c r="A13" s="95"/>
      <c r="B13" s="95" t="s">
        <v>55</v>
      </c>
      <c r="C13" s="96">
        <f t="shared" si="4"/>
        <v>14632289.619000003</v>
      </c>
      <c r="D13" s="96">
        <f t="shared" si="0"/>
        <v>146322.89619000003</v>
      </c>
      <c r="E13" s="96">
        <f t="shared" si="1"/>
        <v>0</v>
      </c>
      <c r="F13" s="96">
        <f t="shared" si="2"/>
        <v>146322.89619000003</v>
      </c>
      <c r="G13" s="96">
        <f t="shared" si="3"/>
        <v>14632289.619000003</v>
      </c>
    </row>
    <row r="14" spans="1:7">
      <c r="A14" s="95"/>
      <c r="B14" s="95" t="s">
        <v>56</v>
      </c>
      <c r="C14" s="96">
        <f t="shared" si="4"/>
        <v>14632289.619000003</v>
      </c>
      <c r="D14" s="96">
        <f t="shared" si="0"/>
        <v>146322.89619000003</v>
      </c>
      <c r="E14" s="96">
        <f t="shared" si="1"/>
        <v>0</v>
      </c>
      <c r="F14" s="96">
        <f t="shared" si="2"/>
        <v>146322.89619000003</v>
      </c>
      <c r="G14" s="96">
        <f t="shared" si="3"/>
        <v>14632289.619000003</v>
      </c>
    </row>
    <row r="15" spans="1:7">
      <c r="A15" s="95"/>
      <c r="B15" s="95" t="s">
        <v>57</v>
      </c>
      <c r="C15" s="96">
        <f t="shared" si="4"/>
        <v>14632289.619000003</v>
      </c>
      <c r="D15" s="96">
        <f t="shared" si="0"/>
        <v>146322.89619000003</v>
      </c>
      <c r="E15" s="96">
        <f t="shared" si="1"/>
        <v>0</v>
      </c>
      <c r="F15" s="96">
        <f t="shared" si="2"/>
        <v>146322.89619000003</v>
      </c>
      <c r="G15" s="96">
        <f t="shared" si="3"/>
        <v>14632289.619000003</v>
      </c>
    </row>
    <row r="16" spans="1:7">
      <c r="A16" s="95"/>
      <c r="B16" s="95" t="s">
        <v>58</v>
      </c>
      <c r="C16" s="96">
        <f t="shared" si="4"/>
        <v>14632289.619000003</v>
      </c>
      <c r="D16" s="96">
        <f t="shared" si="0"/>
        <v>146322.89619000003</v>
      </c>
      <c r="E16" s="96">
        <f>F16-D16</f>
        <v>420650.71857407701</v>
      </c>
      <c r="F16" s="96">
        <f t="shared" ref="F16:F45" si="5">$D$8</f>
        <v>566973.61476407701</v>
      </c>
      <c r="G16" s="96">
        <f t="shared" si="3"/>
        <v>14211638.900425926</v>
      </c>
    </row>
    <row r="17" spans="1:9">
      <c r="A17" s="95"/>
      <c r="B17" s="95" t="s">
        <v>59</v>
      </c>
      <c r="C17" s="96">
        <f t="shared" si="4"/>
        <v>14211638.900425926</v>
      </c>
      <c r="D17" s="96">
        <f t="shared" si="0"/>
        <v>142116.38900425925</v>
      </c>
      <c r="E17" s="96">
        <f t="shared" ref="E17:E45" si="6">F17-D17</f>
        <v>424857.22575981775</v>
      </c>
      <c r="F17" s="96">
        <f t="shared" si="5"/>
        <v>566973.61476407701</v>
      </c>
      <c r="G17" s="96">
        <f t="shared" si="3"/>
        <v>13786781.674666109</v>
      </c>
    </row>
    <row r="18" spans="1:9">
      <c r="A18" s="95"/>
      <c r="B18" s="95" t="s">
        <v>60</v>
      </c>
      <c r="C18" s="96">
        <f t="shared" si="4"/>
        <v>13786781.674666109</v>
      </c>
      <c r="D18" s="96">
        <f t="shared" si="0"/>
        <v>137867.81674666106</v>
      </c>
      <c r="E18" s="96">
        <f t="shared" si="6"/>
        <v>429105.79801741592</v>
      </c>
      <c r="F18" s="96">
        <f t="shared" si="5"/>
        <v>566973.61476407701</v>
      </c>
      <c r="G18" s="96">
        <f t="shared" si="3"/>
        <v>13357675.876648692</v>
      </c>
    </row>
    <row r="19" spans="1:9">
      <c r="A19" s="95"/>
      <c r="B19" s="95" t="s">
        <v>61</v>
      </c>
      <c r="C19" s="96">
        <f t="shared" si="4"/>
        <v>13357675.876648692</v>
      </c>
      <c r="D19" s="96">
        <f t="shared" si="0"/>
        <v>133576.75876648692</v>
      </c>
      <c r="E19" s="96">
        <f t="shared" si="6"/>
        <v>433396.85599759012</v>
      </c>
      <c r="F19" s="96">
        <f t="shared" si="5"/>
        <v>566973.61476407701</v>
      </c>
      <c r="G19" s="96">
        <f t="shared" si="3"/>
        <v>12924279.020651102</v>
      </c>
    </row>
    <row r="20" spans="1:9">
      <c r="A20" s="95"/>
      <c r="B20" s="95" t="s">
        <v>62</v>
      </c>
      <c r="C20" s="96">
        <f t="shared" si="4"/>
        <v>12924279.020651102</v>
      </c>
      <c r="D20" s="96">
        <f t="shared" si="0"/>
        <v>129242.79020651102</v>
      </c>
      <c r="E20" s="96">
        <f t="shared" si="6"/>
        <v>437730.82455756597</v>
      </c>
      <c r="F20" s="96">
        <f t="shared" si="5"/>
        <v>566973.61476407701</v>
      </c>
      <c r="G20" s="96">
        <f t="shared" si="3"/>
        <v>12486548.196093537</v>
      </c>
    </row>
    <row r="21" spans="1:9">
      <c r="A21" s="95"/>
      <c r="B21" s="95" t="s">
        <v>63</v>
      </c>
      <c r="C21" s="96">
        <f t="shared" si="4"/>
        <v>12486548.196093537</v>
      </c>
      <c r="D21" s="96">
        <f t="shared" si="0"/>
        <v>124865.48196093536</v>
      </c>
      <c r="E21" s="96">
        <f t="shared" si="6"/>
        <v>442108.13280314166</v>
      </c>
      <c r="F21" s="96">
        <f t="shared" si="5"/>
        <v>566973.61476407701</v>
      </c>
      <c r="G21" s="96">
        <f t="shared" si="3"/>
        <v>12044440.063290395</v>
      </c>
      <c r="H21" s="1"/>
      <c r="I21" s="1"/>
    </row>
    <row r="22" spans="1:9">
      <c r="A22" s="95" t="s">
        <v>12</v>
      </c>
      <c r="B22" s="95" t="s">
        <v>64</v>
      </c>
      <c r="C22" s="96">
        <f t="shared" si="4"/>
        <v>12044440.063290395</v>
      </c>
      <c r="D22" s="96">
        <f t="shared" si="0"/>
        <v>120444.40063290395</v>
      </c>
      <c r="E22" s="96">
        <f t="shared" si="6"/>
        <v>446529.21413117304</v>
      </c>
      <c r="F22" s="96">
        <f t="shared" si="5"/>
        <v>566973.61476407701</v>
      </c>
      <c r="G22" s="96">
        <f t="shared" si="3"/>
        <v>11597910.849159222</v>
      </c>
    </row>
    <row r="23" spans="1:9">
      <c r="A23" s="95"/>
      <c r="B23" s="95" t="s">
        <v>65</v>
      </c>
      <c r="C23" s="96">
        <f t="shared" si="4"/>
        <v>11597910.849159222</v>
      </c>
      <c r="D23" s="96">
        <f t="shared" si="0"/>
        <v>115979.10849159223</v>
      </c>
      <c r="E23" s="96">
        <f t="shared" si="6"/>
        <v>450994.50627248478</v>
      </c>
      <c r="F23" s="96">
        <f t="shared" si="5"/>
        <v>566973.61476407701</v>
      </c>
      <c r="G23" s="96">
        <f t="shared" si="3"/>
        <v>11146916.342886737</v>
      </c>
    </row>
    <row r="24" spans="1:9">
      <c r="A24" s="95"/>
      <c r="B24" s="95" t="s">
        <v>66</v>
      </c>
      <c r="C24" s="96">
        <f t="shared" si="4"/>
        <v>11146916.342886737</v>
      </c>
      <c r="D24" s="96">
        <f t="shared" si="0"/>
        <v>111469.16342886737</v>
      </c>
      <c r="E24" s="96">
        <f t="shared" si="6"/>
        <v>455504.45133520965</v>
      </c>
      <c r="F24" s="96">
        <f t="shared" si="5"/>
        <v>566973.61476407701</v>
      </c>
      <c r="G24" s="96">
        <f t="shared" si="3"/>
        <v>10691411.891551526</v>
      </c>
    </row>
    <row r="25" spans="1:9">
      <c r="A25" s="95"/>
      <c r="B25" s="95" t="s">
        <v>67</v>
      </c>
      <c r="C25" s="96">
        <f t="shared" si="4"/>
        <v>10691411.891551526</v>
      </c>
      <c r="D25" s="96">
        <f t="shared" si="0"/>
        <v>106914.11891551525</v>
      </c>
      <c r="E25" s="96">
        <f t="shared" si="6"/>
        <v>460059.49584856175</v>
      </c>
      <c r="F25" s="96">
        <f t="shared" si="5"/>
        <v>566973.61476407701</v>
      </c>
      <c r="G25" s="96">
        <f t="shared" si="3"/>
        <v>10231352.395702964</v>
      </c>
    </row>
    <row r="26" spans="1:9">
      <c r="A26" s="95"/>
      <c r="B26" s="95" t="s">
        <v>68</v>
      </c>
      <c r="C26" s="96">
        <f t="shared" si="4"/>
        <v>10231352.395702964</v>
      </c>
      <c r="D26" s="96">
        <f t="shared" si="0"/>
        <v>102313.52395702963</v>
      </c>
      <c r="E26" s="96">
        <f t="shared" si="6"/>
        <v>464660.09080704738</v>
      </c>
      <c r="F26" s="96">
        <f t="shared" si="5"/>
        <v>566973.61476407701</v>
      </c>
      <c r="G26" s="96">
        <f t="shared" si="3"/>
        <v>9766692.304895917</v>
      </c>
    </row>
    <row r="27" spans="1:9">
      <c r="A27" s="95"/>
      <c r="B27" s="95" t="s">
        <v>69</v>
      </c>
      <c r="C27" s="96">
        <f t="shared" si="4"/>
        <v>9766692.304895917</v>
      </c>
      <c r="D27" s="96">
        <f t="shared" si="0"/>
        <v>97666.923048959172</v>
      </c>
      <c r="E27" s="96">
        <f t="shared" si="6"/>
        <v>469306.69171511783</v>
      </c>
      <c r="F27" s="96">
        <f t="shared" si="5"/>
        <v>566973.61476407701</v>
      </c>
      <c r="G27" s="96">
        <f t="shared" si="3"/>
        <v>9297385.6131807994</v>
      </c>
    </row>
    <row r="28" spans="1:9">
      <c r="A28" s="95"/>
      <c r="B28" s="95" t="s">
        <v>70</v>
      </c>
      <c r="C28" s="96">
        <f t="shared" si="4"/>
        <v>9297385.6131807994</v>
      </c>
      <c r="D28" s="96">
        <f t="shared" si="0"/>
        <v>92973.856131808003</v>
      </c>
      <c r="E28" s="96">
        <f t="shared" si="6"/>
        <v>473999.75863226899</v>
      </c>
      <c r="F28" s="96">
        <f t="shared" si="5"/>
        <v>566973.61476407701</v>
      </c>
      <c r="G28" s="96">
        <f t="shared" si="3"/>
        <v>8823385.8545485307</v>
      </c>
    </row>
    <row r="29" spans="1:9">
      <c r="A29" s="95"/>
      <c r="B29" s="95" t="s">
        <v>71</v>
      </c>
      <c r="C29" s="96">
        <f t="shared" si="4"/>
        <v>8823385.8545485307</v>
      </c>
      <c r="D29" s="96">
        <f t="shared" si="0"/>
        <v>88233.858545485302</v>
      </c>
      <c r="E29" s="96">
        <f t="shared" si="6"/>
        <v>478739.7562185917</v>
      </c>
      <c r="F29" s="96">
        <f t="shared" si="5"/>
        <v>566973.61476407701</v>
      </c>
      <c r="G29" s="96">
        <f t="shared" si="3"/>
        <v>8344646.0983299389</v>
      </c>
    </row>
    <row r="30" spans="1:9">
      <c r="A30" s="95"/>
      <c r="B30" s="95" t="s">
        <v>72</v>
      </c>
      <c r="C30" s="96">
        <f t="shared" si="4"/>
        <v>8344646.0983299389</v>
      </c>
      <c r="D30" s="96">
        <f t="shared" si="0"/>
        <v>83446.460983299388</v>
      </c>
      <c r="E30" s="96">
        <f t="shared" si="6"/>
        <v>483527.15378077759</v>
      </c>
      <c r="F30" s="96">
        <f t="shared" si="5"/>
        <v>566973.61476407701</v>
      </c>
      <c r="G30" s="96">
        <f t="shared" si="3"/>
        <v>7861118.944549161</v>
      </c>
    </row>
    <row r="31" spans="1:9">
      <c r="A31" s="95"/>
      <c r="B31" s="95" t="s">
        <v>73</v>
      </c>
      <c r="C31" s="96">
        <f t="shared" si="4"/>
        <v>7861118.944549161</v>
      </c>
      <c r="D31" s="96">
        <f t="shared" si="0"/>
        <v>78611.189445491604</v>
      </c>
      <c r="E31" s="96">
        <f t="shared" si="6"/>
        <v>488362.42531858542</v>
      </c>
      <c r="F31" s="96">
        <f t="shared" si="5"/>
        <v>566973.61476407701</v>
      </c>
      <c r="G31" s="96">
        <f t="shared" si="3"/>
        <v>7372756.5192305753</v>
      </c>
    </row>
    <row r="32" spans="1:9">
      <c r="A32" s="95"/>
      <c r="B32" s="95" t="s">
        <v>74</v>
      </c>
      <c r="C32" s="96">
        <f t="shared" si="4"/>
        <v>7372756.5192305753</v>
      </c>
      <c r="D32" s="96">
        <f t="shared" si="0"/>
        <v>73727.565192305759</v>
      </c>
      <c r="E32" s="96">
        <f t="shared" si="6"/>
        <v>493246.04957177123</v>
      </c>
      <c r="F32" s="96">
        <f t="shared" si="5"/>
        <v>566973.61476407701</v>
      </c>
      <c r="G32" s="96">
        <f t="shared" si="3"/>
        <v>6879510.4696588041</v>
      </c>
    </row>
    <row r="33" spans="1:9">
      <c r="A33" s="95"/>
      <c r="B33" s="95" t="s">
        <v>75</v>
      </c>
      <c r="C33" s="96">
        <f t="shared" si="4"/>
        <v>6879510.4696588041</v>
      </c>
      <c r="D33" s="96">
        <f t="shared" si="0"/>
        <v>68795.104696588038</v>
      </c>
      <c r="E33" s="96">
        <f t="shared" si="6"/>
        <v>498178.510067489</v>
      </c>
      <c r="F33" s="96">
        <f t="shared" si="5"/>
        <v>566973.61476407701</v>
      </c>
      <c r="G33" s="96">
        <f t="shared" si="3"/>
        <v>6381331.9595913151</v>
      </c>
      <c r="H33" s="1"/>
      <c r="I33" s="1"/>
    </row>
    <row r="34" spans="1:9">
      <c r="A34" s="95" t="s">
        <v>13</v>
      </c>
      <c r="B34" s="95" t="s">
        <v>76</v>
      </c>
      <c r="C34" s="96">
        <f t="shared" si="4"/>
        <v>6381331.9595913151</v>
      </c>
      <c r="D34" s="96">
        <f t="shared" si="0"/>
        <v>63813.319595913148</v>
      </c>
      <c r="E34" s="96">
        <f t="shared" si="6"/>
        <v>503160.29516816384</v>
      </c>
      <c r="F34" s="96">
        <f t="shared" si="5"/>
        <v>566973.61476407701</v>
      </c>
      <c r="G34" s="96">
        <f t="shared" si="3"/>
        <v>5878171.6644231509</v>
      </c>
    </row>
    <row r="35" spans="1:9">
      <c r="A35" s="95"/>
      <c r="B35" s="95" t="s">
        <v>77</v>
      </c>
      <c r="C35" s="96">
        <f t="shared" si="4"/>
        <v>5878171.6644231509</v>
      </c>
      <c r="D35" s="96">
        <f t="shared" si="0"/>
        <v>58781.716644231514</v>
      </c>
      <c r="E35" s="96">
        <f t="shared" si="6"/>
        <v>508191.89811984549</v>
      </c>
      <c r="F35" s="96">
        <f t="shared" si="5"/>
        <v>566973.61476407701</v>
      </c>
      <c r="G35" s="96">
        <f t="shared" si="3"/>
        <v>5369979.7663033055</v>
      </c>
    </row>
    <row r="36" spans="1:9">
      <c r="A36" s="95"/>
      <c r="B36" s="95" t="s">
        <v>78</v>
      </c>
      <c r="C36" s="96">
        <f t="shared" si="4"/>
        <v>5369979.7663033055</v>
      </c>
      <c r="D36" s="96">
        <f t="shared" si="0"/>
        <v>53699.79766303306</v>
      </c>
      <c r="E36" s="96">
        <f t="shared" si="6"/>
        <v>513273.81710104394</v>
      </c>
      <c r="F36" s="96">
        <f t="shared" si="5"/>
        <v>566973.61476407701</v>
      </c>
      <c r="G36" s="96">
        <f t="shared" si="3"/>
        <v>4856705.9492022619</v>
      </c>
    </row>
    <row r="37" spans="1:9">
      <c r="A37" s="95"/>
      <c r="B37" s="95" t="s">
        <v>79</v>
      </c>
      <c r="C37" s="96">
        <f t="shared" si="4"/>
        <v>4856705.9492022619</v>
      </c>
      <c r="D37" s="96">
        <f t="shared" si="0"/>
        <v>48567.059492022614</v>
      </c>
      <c r="E37" s="96">
        <f t="shared" si="6"/>
        <v>518406.55527205439</v>
      </c>
      <c r="F37" s="96">
        <f t="shared" si="5"/>
        <v>566973.61476407701</v>
      </c>
      <c r="G37" s="96">
        <f t="shared" si="3"/>
        <v>4338299.3939302079</v>
      </c>
    </row>
    <row r="38" spans="1:9">
      <c r="A38" s="95"/>
      <c r="B38" s="95" t="s">
        <v>80</v>
      </c>
      <c r="C38" s="96">
        <f t="shared" si="4"/>
        <v>4338299.3939302079</v>
      </c>
      <c r="D38" s="96">
        <f t="shared" si="0"/>
        <v>43382.993939302076</v>
      </c>
      <c r="E38" s="96">
        <f t="shared" si="6"/>
        <v>523590.62082477496</v>
      </c>
      <c r="F38" s="96">
        <f t="shared" si="5"/>
        <v>566973.61476407701</v>
      </c>
      <c r="G38" s="96">
        <f t="shared" si="3"/>
        <v>3814708.7731054332</v>
      </c>
    </row>
    <row r="39" spans="1:9">
      <c r="A39" s="95"/>
      <c r="B39" s="95" t="s">
        <v>81</v>
      </c>
      <c r="C39" s="96">
        <f t="shared" si="4"/>
        <v>3814708.7731054332</v>
      </c>
      <c r="D39" s="96">
        <f t="shared" si="0"/>
        <v>38147.087731054329</v>
      </c>
      <c r="E39" s="96">
        <f t="shared" si="6"/>
        <v>528826.52703302272</v>
      </c>
      <c r="F39" s="96">
        <f t="shared" si="5"/>
        <v>566973.61476407701</v>
      </c>
      <c r="G39" s="96">
        <f t="shared" si="3"/>
        <v>3285882.2460724106</v>
      </c>
    </row>
    <row r="40" spans="1:9">
      <c r="A40" s="95"/>
      <c r="B40" s="95" t="s">
        <v>82</v>
      </c>
      <c r="C40" s="96">
        <f t="shared" si="4"/>
        <v>3285882.2460724106</v>
      </c>
      <c r="D40" s="96">
        <f t="shared" si="0"/>
        <v>32858.822460724106</v>
      </c>
      <c r="E40" s="96">
        <f t="shared" si="6"/>
        <v>534114.79230335285</v>
      </c>
      <c r="F40" s="96">
        <f t="shared" si="5"/>
        <v>566973.61476407701</v>
      </c>
      <c r="G40" s="96">
        <f t="shared" si="3"/>
        <v>2751767.453769058</v>
      </c>
    </row>
    <row r="41" spans="1:9">
      <c r="A41" s="95"/>
      <c r="B41" s="95" t="s">
        <v>83</v>
      </c>
      <c r="C41" s="96">
        <f t="shared" si="4"/>
        <v>2751767.453769058</v>
      </c>
      <c r="D41" s="96">
        <f t="shared" si="0"/>
        <v>27517.674537690578</v>
      </c>
      <c r="E41" s="96">
        <f t="shared" si="6"/>
        <v>539455.94022638642</v>
      </c>
      <c r="F41" s="96">
        <f t="shared" si="5"/>
        <v>566973.61476407701</v>
      </c>
      <c r="G41" s="96">
        <f t="shared" si="3"/>
        <v>2212311.5135426717</v>
      </c>
    </row>
    <row r="42" spans="1:9">
      <c r="A42" s="95"/>
      <c r="B42" s="95" t="s">
        <v>84</v>
      </c>
      <c r="C42" s="96">
        <f t="shared" si="4"/>
        <v>2212311.5135426717</v>
      </c>
      <c r="D42" s="96">
        <f t="shared" ref="D42:D45" si="7">C42*$D$5/12</f>
        <v>22123.115135426717</v>
      </c>
      <c r="E42" s="96">
        <f t="shared" si="6"/>
        <v>544850.49962865026</v>
      </c>
      <c r="F42" s="96">
        <f t="shared" si="5"/>
        <v>566973.61476407701</v>
      </c>
      <c r="G42" s="96">
        <f t="shared" si="3"/>
        <v>1667461.0139140214</v>
      </c>
    </row>
    <row r="43" spans="1:9">
      <c r="A43" s="95"/>
      <c r="B43" s="95" t="s">
        <v>85</v>
      </c>
      <c r="C43" s="96">
        <f t="shared" si="4"/>
        <v>1667461.0139140214</v>
      </c>
      <c r="D43" s="96">
        <f t="shared" si="7"/>
        <v>16674.610139140215</v>
      </c>
      <c r="E43" s="96">
        <f t="shared" si="6"/>
        <v>550299.00462493685</v>
      </c>
      <c r="F43" s="96">
        <f t="shared" si="5"/>
        <v>566973.61476407701</v>
      </c>
      <c r="G43" s="96">
        <f t="shared" si="3"/>
        <v>1117162.0092890845</v>
      </c>
    </row>
    <row r="44" spans="1:9">
      <c r="A44" s="95"/>
      <c r="B44" s="95" t="s">
        <v>86</v>
      </c>
      <c r="C44" s="96">
        <f t="shared" si="4"/>
        <v>1117162.0092890845</v>
      </c>
      <c r="D44" s="96">
        <f t="shared" si="7"/>
        <v>11171.620092890844</v>
      </c>
      <c r="E44" s="96">
        <f t="shared" si="6"/>
        <v>555801.9946711862</v>
      </c>
      <c r="F44" s="96">
        <f t="shared" si="5"/>
        <v>566973.61476407701</v>
      </c>
      <c r="G44" s="96">
        <f t="shared" si="3"/>
        <v>561360.01461789827</v>
      </c>
    </row>
    <row r="45" spans="1:9">
      <c r="A45" s="95"/>
      <c r="B45" s="95" t="s">
        <v>87</v>
      </c>
      <c r="C45" s="96">
        <f t="shared" si="4"/>
        <v>561360.01461789827</v>
      </c>
      <c r="D45" s="96">
        <f t="shared" si="7"/>
        <v>5613.600146178982</v>
      </c>
      <c r="E45" s="96">
        <f t="shared" si="6"/>
        <v>561360.01461789804</v>
      </c>
      <c r="F45" s="96">
        <f t="shared" si="5"/>
        <v>566973.61476407701</v>
      </c>
      <c r="G45" s="96">
        <f t="shared" si="3"/>
        <v>0</v>
      </c>
      <c r="H45" s="1"/>
      <c r="I45" s="1"/>
    </row>
    <row r="46" spans="1:9">
      <c r="A46" s="95"/>
      <c r="B46" s="95"/>
      <c r="C46" s="96"/>
      <c r="D46" s="96"/>
      <c r="E46" s="96"/>
      <c r="F46" s="96"/>
      <c r="G46" s="96"/>
    </row>
    <row r="47" spans="1:9">
      <c r="A47" s="95"/>
      <c r="B47" s="95"/>
      <c r="C47" s="96"/>
      <c r="D47" s="96"/>
      <c r="E47" s="96"/>
      <c r="F47" s="96"/>
      <c r="G47" s="96"/>
    </row>
    <row r="48" spans="1:9">
      <c r="A48" s="95"/>
      <c r="B48" s="95"/>
      <c r="C48" s="96"/>
      <c r="D48" s="96"/>
      <c r="E48" s="96"/>
      <c r="F48" s="96"/>
      <c r="G48" s="96"/>
    </row>
    <row r="49" spans="1:9">
      <c r="A49" s="95"/>
      <c r="B49" s="95"/>
      <c r="C49" s="96"/>
      <c r="D49" s="96"/>
      <c r="E49" s="96"/>
      <c r="F49" s="96"/>
      <c r="G49" s="96"/>
    </row>
    <row r="50" spans="1:9">
      <c r="A50" s="95"/>
      <c r="B50" s="95"/>
      <c r="C50" s="96"/>
      <c r="D50" s="96"/>
      <c r="E50" s="96"/>
      <c r="F50" s="96"/>
      <c r="G50" s="96"/>
    </row>
    <row r="51" spans="1:9">
      <c r="A51" s="95"/>
      <c r="B51" s="95"/>
      <c r="C51" s="96"/>
      <c r="D51" s="96"/>
      <c r="E51" s="96"/>
      <c r="F51" s="96"/>
      <c r="G51" s="96"/>
    </row>
    <row r="52" spans="1:9">
      <c r="A52" s="95"/>
      <c r="B52" s="95"/>
      <c r="C52" s="96"/>
      <c r="D52" s="96"/>
      <c r="E52" s="96"/>
      <c r="F52" s="96"/>
      <c r="G52" s="96"/>
    </row>
    <row r="53" spans="1:9">
      <c r="A53" s="95"/>
      <c r="B53" s="95"/>
      <c r="C53" s="96"/>
      <c r="D53" s="96"/>
      <c r="E53" s="96"/>
      <c r="F53" s="96"/>
      <c r="G53" s="96"/>
    </row>
    <row r="54" spans="1:9">
      <c r="A54" s="95"/>
      <c r="B54" s="95"/>
      <c r="C54" s="96"/>
      <c r="D54" s="96"/>
      <c r="E54" s="96"/>
      <c r="F54" s="96"/>
      <c r="G54" s="96"/>
    </row>
    <row r="55" spans="1:9">
      <c r="A55" s="95"/>
      <c r="B55" s="95"/>
      <c r="C55" s="96"/>
      <c r="D55" s="96"/>
      <c r="E55" s="96"/>
      <c r="F55" s="96"/>
      <c r="G55" s="96"/>
    </row>
    <row r="56" spans="1:9">
      <c r="A56" s="95"/>
      <c r="B56" s="95"/>
      <c r="C56" s="96"/>
      <c r="D56" s="96"/>
      <c r="E56" s="96"/>
      <c r="F56" s="96"/>
      <c r="G56" s="96"/>
    </row>
    <row r="57" spans="1:9">
      <c r="A57" s="95"/>
      <c r="B57" s="95"/>
      <c r="C57" s="96"/>
      <c r="D57" s="96"/>
      <c r="E57" s="96"/>
      <c r="F57" s="96"/>
      <c r="G57" s="96"/>
      <c r="H57" s="1"/>
      <c r="I57" s="1"/>
    </row>
    <row r="58" spans="1:9">
      <c r="A58" s="95"/>
      <c r="B58" s="95"/>
      <c r="C58" s="96"/>
      <c r="D58" s="96"/>
      <c r="E58" s="96"/>
      <c r="F58" s="96"/>
      <c r="G58" s="96"/>
    </row>
    <row r="59" spans="1:9">
      <c r="A59" s="95"/>
      <c r="B59" s="95"/>
      <c r="C59" s="96"/>
      <c r="D59" s="96"/>
      <c r="E59" s="96"/>
      <c r="F59" s="96"/>
      <c r="G59" s="96"/>
    </row>
    <row r="60" spans="1:9">
      <c r="A60" s="95"/>
      <c r="B60" s="95"/>
      <c r="C60" s="96"/>
      <c r="D60" s="96"/>
      <c r="E60" s="96"/>
      <c r="F60" s="96"/>
      <c r="G60" s="96"/>
    </row>
    <row r="61" spans="1:9">
      <c r="A61" s="95"/>
      <c r="B61" s="95"/>
      <c r="C61" s="96"/>
      <c r="D61" s="96"/>
      <c r="E61" s="96"/>
      <c r="F61" s="96"/>
      <c r="G61" s="96"/>
    </row>
    <row r="62" spans="1:9">
      <c r="A62" s="95"/>
      <c r="B62" s="95"/>
      <c r="C62" s="96"/>
      <c r="D62" s="96"/>
      <c r="E62" s="96"/>
      <c r="F62" s="96"/>
      <c r="G62" s="96"/>
    </row>
    <row r="63" spans="1:9">
      <c r="A63" s="95"/>
      <c r="B63" s="95"/>
      <c r="C63" s="96"/>
      <c r="D63" s="96"/>
      <c r="E63" s="96"/>
      <c r="F63" s="96"/>
      <c r="G63" s="96"/>
    </row>
    <row r="64" spans="1:9">
      <c r="A64" s="95"/>
      <c r="B64" s="95"/>
      <c r="C64" s="96"/>
      <c r="D64" s="96"/>
      <c r="E64" s="96"/>
      <c r="F64" s="96"/>
      <c r="G64" s="96"/>
    </row>
    <row r="65" spans="1:9">
      <c r="A65" s="95"/>
      <c r="B65" s="95"/>
      <c r="C65" s="96"/>
      <c r="D65" s="96"/>
      <c r="E65" s="96"/>
      <c r="F65" s="96"/>
      <c r="G65" s="96"/>
    </row>
    <row r="66" spans="1:9">
      <c r="A66" s="95"/>
      <c r="B66" s="95"/>
      <c r="C66" s="96"/>
      <c r="D66" s="96"/>
      <c r="E66" s="96"/>
      <c r="F66" s="96"/>
      <c r="G66" s="96"/>
    </row>
    <row r="67" spans="1:9">
      <c r="A67" s="95"/>
      <c r="B67" s="95"/>
      <c r="C67" s="96"/>
      <c r="D67" s="96"/>
      <c r="E67" s="96"/>
      <c r="F67" s="96"/>
      <c r="G67" s="96"/>
    </row>
    <row r="68" spans="1:9">
      <c r="A68" s="95"/>
      <c r="B68" s="95"/>
      <c r="C68" s="96"/>
      <c r="D68" s="96"/>
      <c r="E68" s="96"/>
      <c r="F68" s="96"/>
      <c r="G68" s="96"/>
    </row>
    <row r="69" spans="1:9">
      <c r="A69" s="95"/>
      <c r="B69" s="95"/>
      <c r="C69" s="96"/>
      <c r="D69" s="96"/>
      <c r="E69" s="96"/>
      <c r="F69" s="96"/>
      <c r="G69" s="96"/>
      <c r="H69" s="1"/>
      <c r="I69" s="1"/>
    </row>
    <row r="70" spans="1:9">
      <c r="A70" s="95"/>
      <c r="B70" s="95"/>
      <c r="C70" s="96"/>
      <c r="D70" s="96"/>
      <c r="E70" s="96"/>
      <c r="F70" s="96"/>
      <c r="G70" s="96"/>
    </row>
    <row r="71" spans="1:9">
      <c r="A71" s="95"/>
      <c r="B71" s="95"/>
      <c r="C71" s="96"/>
      <c r="D71" s="96"/>
      <c r="E71" s="96"/>
      <c r="F71" s="96"/>
      <c r="G71" s="96"/>
    </row>
    <row r="72" spans="1:9">
      <c r="A72" s="95"/>
      <c r="B72" s="95"/>
      <c r="C72" s="96"/>
      <c r="D72" s="96"/>
      <c r="E72" s="96"/>
      <c r="F72" s="96"/>
      <c r="G72" s="96"/>
    </row>
    <row r="73" spans="1:9">
      <c r="A73" s="95"/>
      <c r="B73" s="95"/>
      <c r="C73" s="96"/>
      <c r="D73" s="96"/>
      <c r="E73" s="96"/>
      <c r="F73" s="96"/>
      <c r="G73" s="96"/>
    </row>
    <row r="74" spans="1:9">
      <c r="A74" s="95"/>
      <c r="B74" s="95"/>
      <c r="C74" s="96"/>
      <c r="D74" s="96"/>
      <c r="E74" s="96"/>
      <c r="F74" s="96"/>
      <c r="G74" s="96"/>
    </row>
    <row r="75" spans="1:9">
      <c r="A75" s="95"/>
      <c r="B75" s="95"/>
      <c r="C75" s="96"/>
      <c r="D75" s="96"/>
      <c r="E75" s="96"/>
      <c r="F75" s="96"/>
      <c r="G75" s="96"/>
    </row>
    <row r="76" spans="1:9">
      <c r="A76" s="95"/>
      <c r="B76" s="95"/>
      <c r="C76" s="96"/>
      <c r="D76" s="96"/>
      <c r="E76" s="96"/>
      <c r="F76" s="96"/>
      <c r="G76" s="96"/>
    </row>
    <row r="77" spans="1:9">
      <c r="A77" s="95"/>
      <c r="B77" s="95"/>
      <c r="C77" s="96"/>
      <c r="D77" s="96"/>
      <c r="E77" s="96"/>
      <c r="F77" s="96"/>
      <c r="G77" s="96"/>
    </row>
    <row r="78" spans="1:9">
      <c r="A78" s="95"/>
      <c r="B78" s="95"/>
      <c r="C78" s="96"/>
      <c r="D78" s="96"/>
      <c r="E78" s="96"/>
      <c r="F78" s="96"/>
      <c r="G78" s="96"/>
    </row>
    <row r="79" spans="1:9">
      <c r="A79" s="95"/>
      <c r="B79" s="95"/>
      <c r="C79" s="96"/>
      <c r="D79" s="96"/>
      <c r="E79" s="96"/>
      <c r="F79" s="96"/>
      <c r="G79" s="96"/>
    </row>
    <row r="80" spans="1:9">
      <c r="A80" s="95"/>
      <c r="B80" s="95"/>
      <c r="C80" s="96"/>
      <c r="D80" s="96"/>
      <c r="E80" s="96"/>
      <c r="F80" s="96"/>
      <c r="G80" s="96"/>
    </row>
    <row r="81" spans="1:9">
      <c r="A81" s="95"/>
      <c r="B81" s="95"/>
      <c r="C81" s="96"/>
      <c r="D81" s="96"/>
      <c r="E81" s="96"/>
      <c r="F81" s="96"/>
      <c r="G81" s="96"/>
      <c r="H81" s="1"/>
      <c r="I81" s="1"/>
    </row>
    <row r="82" spans="1:9">
      <c r="A82" s="95"/>
      <c r="B82" s="95"/>
      <c r="C82" s="96"/>
      <c r="D82" s="96"/>
      <c r="E82" s="96"/>
      <c r="F82" s="96"/>
      <c r="G82" s="96"/>
    </row>
    <row r="83" spans="1:9">
      <c r="A83" s="95"/>
      <c r="B83" s="95"/>
      <c r="C83" s="96"/>
      <c r="D83" s="96"/>
      <c r="E83" s="96"/>
      <c r="F83" s="96"/>
      <c r="G83" s="96"/>
    </row>
    <row r="84" spans="1:9">
      <c r="A84" s="95"/>
      <c r="B84" s="95"/>
      <c r="C84" s="96"/>
      <c r="D84" s="96"/>
      <c r="E84" s="96"/>
      <c r="F84" s="96"/>
      <c r="G84" s="96"/>
    </row>
    <row r="85" spans="1:9">
      <c r="A85" s="95"/>
      <c r="B85" s="95"/>
      <c r="C85" s="96"/>
      <c r="D85" s="96"/>
      <c r="E85" s="96"/>
      <c r="F85" s="96"/>
      <c r="G85" s="96"/>
    </row>
    <row r="86" spans="1:9">
      <c r="A86" s="95"/>
      <c r="B86" s="95"/>
      <c r="C86" s="96"/>
      <c r="D86" s="96"/>
      <c r="E86" s="96"/>
      <c r="F86" s="96"/>
      <c r="G86" s="96"/>
    </row>
    <row r="87" spans="1:9">
      <c r="A87" s="95"/>
      <c r="B87" s="95"/>
      <c r="C87" s="96"/>
      <c r="D87" s="96"/>
      <c r="E87" s="96"/>
      <c r="F87" s="96"/>
      <c r="G87" s="96"/>
    </row>
    <row r="88" spans="1:9">
      <c r="A88" s="95"/>
      <c r="B88" s="95"/>
      <c r="C88" s="96"/>
      <c r="D88" s="96"/>
      <c r="E88" s="96"/>
      <c r="F88" s="96"/>
      <c r="G88" s="96"/>
    </row>
    <row r="89" spans="1:9">
      <c r="A89" s="95"/>
      <c r="B89" s="95"/>
      <c r="C89" s="96"/>
      <c r="D89" s="96"/>
      <c r="E89" s="96"/>
      <c r="F89" s="96"/>
      <c r="G89" s="96"/>
    </row>
    <row r="90" spans="1:9">
      <c r="A90" s="95"/>
      <c r="B90" s="95"/>
      <c r="C90" s="96"/>
      <c r="D90" s="96"/>
      <c r="E90" s="96"/>
      <c r="F90" s="96"/>
      <c r="G90" s="96"/>
    </row>
    <row r="91" spans="1:9">
      <c r="A91" s="95"/>
      <c r="B91" s="95"/>
      <c r="C91" s="96"/>
      <c r="D91" s="96"/>
      <c r="E91" s="96"/>
      <c r="F91" s="96"/>
      <c r="G91" s="96"/>
    </row>
    <row r="92" spans="1:9">
      <c r="A92" s="95"/>
      <c r="B92" s="95"/>
      <c r="C92" s="96"/>
      <c r="D92" s="96"/>
      <c r="E92" s="96"/>
      <c r="F92" s="96"/>
      <c r="G92" s="96"/>
    </row>
    <row r="93" spans="1:9">
      <c r="A93" s="95"/>
      <c r="B93" s="95"/>
      <c r="C93" s="96"/>
      <c r="D93" s="96"/>
      <c r="E93" s="96"/>
      <c r="F93" s="96"/>
      <c r="G93" s="96"/>
    </row>
    <row r="94" spans="1:9">
      <c r="A94" s="94"/>
      <c r="B94" s="94"/>
      <c r="C94" s="94"/>
      <c r="D94" s="103">
        <f>SUM(D10:D93)</f>
        <v>3254856.2010623072</v>
      </c>
      <c r="E94" s="103">
        <f>SUM(E10:E93)</f>
        <v>14632289.619000005</v>
      </c>
      <c r="F94" s="94"/>
      <c r="G94" s="94"/>
    </row>
    <row r="95" spans="1:9" ht="39.950000000000003" customHeight="1">
      <c r="A95" s="441" t="s">
        <v>380</v>
      </c>
      <c r="B95" s="441"/>
      <c r="C95" s="441"/>
      <c r="D95" s="441"/>
      <c r="E95" s="441"/>
      <c r="F95" s="441"/>
      <c r="G95" s="441"/>
      <c r="H95" s="441"/>
    </row>
    <row r="96" spans="1:9">
      <c r="A96" t="s">
        <v>492</v>
      </c>
    </row>
    <row r="97" spans="1:2">
      <c r="A97">
        <v>1</v>
      </c>
      <c r="B97" t="s">
        <v>493</v>
      </c>
    </row>
    <row r="98" spans="1:2">
      <c r="A98">
        <v>2</v>
      </c>
      <c r="B98" t="s">
        <v>494</v>
      </c>
    </row>
  </sheetData>
  <mergeCells count="2">
    <mergeCell ref="A2:G2"/>
    <mergeCell ref="A95:H95"/>
  </mergeCells>
  <pageMargins left="0.70866141732283472" right="0.70866141732283472" top="0.74803149606299213" bottom="0.74803149606299213" header="0.31496062992125984" footer="0.31496062992125984"/>
  <pageSetup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63"/>
  <sheetViews>
    <sheetView view="pageBreakPreview" topLeftCell="B21" zoomScale="80" zoomScaleNormal="100" zoomScaleSheetLayoutView="80" workbookViewId="0">
      <selection activeCell="B28" sqref="B28:K56"/>
    </sheetView>
  </sheetViews>
  <sheetFormatPr defaultRowHeight="15"/>
  <cols>
    <col min="2" max="2" width="7.5703125" bestFit="1" customWidth="1"/>
    <col min="3" max="3" width="30.5703125" customWidth="1"/>
    <col min="4" max="4" width="16.85546875" bestFit="1" customWidth="1"/>
    <col min="5" max="5" width="12.5703125" bestFit="1" customWidth="1"/>
    <col min="6" max="11" width="11.28515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25" t="s">
        <v>517</v>
      </c>
      <c r="D2" s="425"/>
      <c r="E2" s="425"/>
      <c r="F2" s="425"/>
      <c r="G2" s="425"/>
      <c r="H2" s="425"/>
      <c r="I2" s="425"/>
      <c r="J2" s="425"/>
      <c r="K2" s="425"/>
      <c r="L2" s="209"/>
    </row>
    <row r="4" spans="3:22">
      <c r="C4" s="82" t="s">
        <v>0</v>
      </c>
      <c r="D4" s="82"/>
      <c r="E4" s="83" t="s">
        <v>2</v>
      </c>
      <c r="F4" s="83" t="s">
        <v>3</v>
      </c>
      <c r="G4" s="83" t="s">
        <v>4</v>
      </c>
      <c r="H4" s="83" t="s">
        <v>5</v>
      </c>
      <c r="I4" s="83" t="s">
        <v>6</v>
      </c>
      <c r="J4" s="83" t="s">
        <v>134</v>
      </c>
      <c r="K4" s="83" t="s">
        <v>133</v>
      </c>
      <c r="L4" s="94"/>
      <c r="M4" s="94"/>
      <c r="N4" s="250"/>
      <c r="O4" s="250"/>
      <c r="P4" s="250"/>
      <c r="Q4" s="250"/>
      <c r="R4" s="250"/>
      <c r="S4" s="250"/>
      <c r="T4" s="250"/>
      <c r="U4" s="250"/>
      <c r="V4" s="250"/>
    </row>
    <row r="5" spans="3:22">
      <c r="C5" s="95" t="s">
        <v>326</v>
      </c>
      <c r="D5" s="95"/>
      <c r="E5" s="95"/>
      <c r="F5" s="95"/>
      <c r="G5" s="95"/>
      <c r="H5" s="95"/>
      <c r="I5" s="95"/>
      <c r="J5" s="95"/>
      <c r="K5" s="95"/>
      <c r="L5" s="94"/>
      <c r="M5" s="94"/>
      <c r="N5" s="452" t="s">
        <v>488</v>
      </c>
      <c r="O5" s="452"/>
      <c r="P5" s="452"/>
      <c r="Q5" s="452"/>
      <c r="R5" s="452"/>
      <c r="S5" s="250"/>
      <c r="T5" s="250"/>
      <c r="U5" s="452" t="s">
        <v>489</v>
      </c>
      <c r="V5" s="452"/>
    </row>
    <row r="6" spans="3:22">
      <c r="C6" s="95" t="s">
        <v>327</v>
      </c>
      <c r="D6" s="190"/>
      <c r="E6" s="95"/>
      <c r="F6" s="96">
        <f>E15</f>
        <v>0</v>
      </c>
      <c r="G6" s="96">
        <f t="shared" ref="F6:K9" si="0">F15</f>
        <v>0</v>
      </c>
      <c r="H6" s="96">
        <f t="shared" si="0"/>
        <v>0</v>
      </c>
      <c r="I6" s="96">
        <f t="shared" si="0"/>
        <v>0</v>
      </c>
      <c r="J6" s="96">
        <f t="shared" si="0"/>
        <v>0</v>
      </c>
      <c r="K6" s="96">
        <f t="shared" si="0"/>
        <v>0</v>
      </c>
      <c r="L6" s="94"/>
      <c r="M6" s="94"/>
      <c r="N6" s="451" t="s">
        <v>490</v>
      </c>
      <c r="O6" s="451"/>
      <c r="P6" s="451"/>
      <c r="Q6" s="451"/>
      <c r="R6" s="451"/>
      <c r="S6" s="250"/>
      <c r="T6" s="250"/>
      <c r="U6" s="451" t="s">
        <v>490</v>
      </c>
      <c r="V6" s="451"/>
    </row>
    <row r="7" spans="3:22">
      <c r="C7" s="95" t="s">
        <v>418</v>
      </c>
      <c r="D7" s="190"/>
      <c r="E7" s="95"/>
      <c r="F7" s="96">
        <f t="shared" si="0"/>
        <v>0</v>
      </c>
      <c r="G7" s="96">
        <f t="shared" si="0"/>
        <v>0</v>
      </c>
      <c r="H7" s="96">
        <f t="shared" si="0"/>
        <v>0</v>
      </c>
      <c r="I7" s="96">
        <f t="shared" si="0"/>
        <v>0</v>
      </c>
      <c r="J7" s="96">
        <f t="shared" si="0"/>
        <v>0</v>
      </c>
      <c r="K7" s="96">
        <f t="shared" si="0"/>
        <v>0</v>
      </c>
      <c r="L7" s="94"/>
      <c r="M7" s="94"/>
      <c r="N7" s="251" t="s">
        <v>0</v>
      </c>
      <c r="O7" s="251" t="s">
        <v>128</v>
      </c>
      <c r="P7" s="251" t="s">
        <v>129</v>
      </c>
      <c r="Q7" s="251" t="s">
        <v>270</v>
      </c>
      <c r="R7" s="251" t="s">
        <v>271</v>
      </c>
      <c r="S7" s="250"/>
      <c r="T7" s="250"/>
      <c r="U7" s="343" t="s">
        <v>0</v>
      </c>
      <c r="V7" s="343" t="s">
        <v>453</v>
      </c>
    </row>
    <row r="8" spans="3:22">
      <c r="C8" s="95" t="s">
        <v>507</v>
      </c>
      <c r="D8" s="190"/>
      <c r="E8" s="95"/>
      <c r="F8" s="96">
        <f t="shared" si="0"/>
        <v>0</v>
      </c>
      <c r="G8" s="96">
        <f t="shared" si="0"/>
        <v>0</v>
      </c>
      <c r="H8" s="96">
        <f t="shared" si="0"/>
        <v>0</v>
      </c>
      <c r="I8" s="96">
        <f t="shared" si="0"/>
        <v>0</v>
      </c>
      <c r="J8" s="96">
        <f t="shared" si="0"/>
        <v>0</v>
      </c>
      <c r="K8" s="96">
        <f t="shared" si="0"/>
        <v>0</v>
      </c>
      <c r="L8" s="94"/>
      <c r="M8" s="94"/>
      <c r="N8" s="252" t="s">
        <v>328</v>
      </c>
      <c r="O8" s="252">
        <f>'13.Facility 2 Grain Processing'!C152</f>
        <v>4800</v>
      </c>
      <c r="P8" s="252">
        <f>'13.Facility 2 Grain Processing'!C153</f>
        <v>5800</v>
      </c>
      <c r="Q8" s="252">
        <f>'13.Facility 2 Grain Processing'!C154</f>
        <v>5800</v>
      </c>
      <c r="R8" s="252">
        <f>'13.Facility 2 Grain Processing'!C155</f>
        <v>6200</v>
      </c>
      <c r="S8" s="250"/>
      <c r="T8" s="250"/>
      <c r="U8" s="252" t="s">
        <v>301</v>
      </c>
      <c r="V8" s="252">
        <f>'17.Facility 6 Horti Processing '!C163</f>
        <v>6000</v>
      </c>
    </row>
    <row r="9" spans="3:22">
      <c r="C9" s="95" t="str">
        <f>C18</f>
        <v xml:space="preserve">Horticulture Processing </v>
      </c>
      <c r="D9" s="95"/>
      <c r="E9" s="95"/>
      <c r="F9" s="96">
        <f>E18</f>
        <v>534283.90990000009</v>
      </c>
      <c r="G9" s="96">
        <f t="shared" si="0"/>
        <v>572563.82938125019</v>
      </c>
      <c r="H9" s="96">
        <f t="shared" si="0"/>
        <v>616864.03103587509</v>
      </c>
      <c r="I9" s="96">
        <f t="shared" si="0"/>
        <v>669266.01604032202</v>
      </c>
      <c r="J9" s="96">
        <f t="shared" si="0"/>
        <v>732325.653280942</v>
      </c>
      <c r="K9" s="96">
        <f t="shared" si="0"/>
        <v>810399.51458856021</v>
      </c>
      <c r="L9" s="94"/>
      <c r="M9" s="94"/>
      <c r="N9" s="252" t="str">
        <f>'13.Facility 2 Grain Processing'!A156</f>
        <v>Oil (Liters)</v>
      </c>
      <c r="O9" s="252">
        <f>('13.Facility 2 Grain Processing'!B156*'13.Facility 2 Grain Processing'!C156/1000)*100</f>
        <v>20</v>
      </c>
      <c r="P9" s="252">
        <f>O9</f>
        <v>20</v>
      </c>
      <c r="Q9" s="252">
        <f t="shared" ref="Q9:R9" si="1">P9</f>
        <v>20</v>
      </c>
      <c r="R9" s="252">
        <f t="shared" si="1"/>
        <v>20</v>
      </c>
      <c r="S9" s="250"/>
      <c r="T9" s="250"/>
      <c r="U9" s="252" t="str">
        <f>'17.Facility 6 Horti Processing '!A166</f>
        <v>Other Consumbales</v>
      </c>
      <c r="V9" s="253">
        <f>'17.Facility 6 Horti Processing '!C166</f>
        <v>0</v>
      </c>
    </row>
    <row r="10" spans="3:22">
      <c r="C10" s="95"/>
      <c r="D10" s="95"/>
      <c r="E10" s="95"/>
      <c r="F10" s="96"/>
      <c r="G10" s="96"/>
      <c r="H10" s="96"/>
      <c r="I10" s="96"/>
      <c r="J10" s="96"/>
      <c r="K10" s="96"/>
      <c r="L10" s="94"/>
      <c r="M10" s="94"/>
      <c r="N10" s="252" t="str">
        <f>'13.Facility 2 Grain Processing'!A157</f>
        <v xml:space="preserve">Daily Labour </v>
      </c>
      <c r="O10" s="254">
        <f>('13.Facility 2 Grain Processing'!B157*'13.Facility 2 Grain Processing'!C157)/('13.Facility 2 Grain Processing'!B5*'13.Facility 2 Grain Processing'!B6)</f>
        <v>56.25</v>
      </c>
      <c r="P10" s="254">
        <f>O10</f>
        <v>56.25</v>
      </c>
      <c r="Q10" s="254">
        <f t="shared" ref="Q10:R10" si="2">P10</f>
        <v>56.25</v>
      </c>
      <c r="R10" s="254">
        <f t="shared" si="2"/>
        <v>56.25</v>
      </c>
      <c r="S10" s="250"/>
      <c r="T10" s="250"/>
      <c r="U10" s="252" t="str">
        <f>'17.Facility 6 Horti Processing '!A167</f>
        <v xml:space="preserve">Daily Labour </v>
      </c>
      <c r="V10" s="253">
        <f>'17.Facility 6 Horti Processing '!B167*'17.Facility 6 Horti Processing '!C167/('17.Facility 6 Horti Processing '!B5*'17.Facility 6 Horti Processing '!B6)</f>
        <v>0</v>
      </c>
    </row>
    <row r="11" spans="3:22">
      <c r="C11" s="95"/>
      <c r="D11" s="95"/>
      <c r="E11" s="95"/>
      <c r="F11" s="96"/>
      <c r="G11" s="96"/>
      <c r="H11" s="96"/>
      <c r="I11" s="96"/>
      <c r="J11" s="96"/>
      <c r="K11" s="96"/>
      <c r="L11" s="94"/>
      <c r="M11" s="94"/>
      <c r="N11" s="252" t="str">
        <f>'13.Facility 2 Grain Processing'!A158</f>
        <v>Electricity Charges</v>
      </c>
      <c r="O11" s="254">
        <f>('13.Facility 2 Grain Processing'!B158*'13.Facility 2 Grain Processing'!C158)/('13.Facility 2 Grain Processing'!B5*'13.Facility 2 Grain Processing'!B6)</f>
        <v>0</v>
      </c>
      <c r="P11" s="254">
        <f>O11</f>
        <v>0</v>
      </c>
      <c r="Q11" s="254">
        <f t="shared" ref="Q11" si="3">P11</f>
        <v>0</v>
      </c>
      <c r="R11" s="254">
        <f t="shared" ref="R11" si="4">Q11</f>
        <v>0</v>
      </c>
      <c r="S11" s="250"/>
      <c r="T11" s="250"/>
      <c r="U11" s="252" t="str">
        <f>'17.Facility 6 Horti Processing '!A168</f>
        <v>Electricity Charges</v>
      </c>
      <c r="V11" s="252">
        <f>'17.Facility 6 Horti Processing '!B168*'17.Facility 6 Horti Processing '!C168/('17.Facility 6 Horti Processing '!B5*'17.Facility 6 Horti Processing '!B6)</f>
        <v>0</v>
      </c>
    </row>
    <row r="12" spans="3:22">
      <c r="C12" s="95" t="s">
        <v>1</v>
      </c>
      <c r="D12" s="95"/>
      <c r="E12" s="96"/>
      <c r="F12" s="96">
        <f t="shared" ref="F12:K12" si="5">SUM(F6:F11)</f>
        <v>534283.90990000009</v>
      </c>
      <c r="G12" s="96">
        <f t="shared" si="5"/>
        <v>572563.82938125019</v>
      </c>
      <c r="H12" s="96">
        <f t="shared" si="5"/>
        <v>616864.03103587509</v>
      </c>
      <c r="I12" s="96">
        <f t="shared" si="5"/>
        <v>669266.01604032202</v>
      </c>
      <c r="J12" s="96">
        <f t="shared" si="5"/>
        <v>732325.653280942</v>
      </c>
      <c r="K12" s="96">
        <f t="shared" si="5"/>
        <v>810399.51458856021</v>
      </c>
      <c r="L12" s="94"/>
      <c r="M12" s="94"/>
      <c r="N12" s="252" t="str">
        <f>'13.Facility 2 Grain Processing'!A159</f>
        <v>Loading/Unloading Charges</v>
      </c>
      <c r="O12" s="252">
        <f>'13.Facility 2 Grain Processing'!C159*2</f>
        <v>20</v>
      </c>
      <c r="P12" s="252">
        <f>O12</f>
        <v>20</v>
      </c>
      <c r="Q12" s="252">
        <f t="shared" ref="Q12:R13" si="6">P12</f>
        <v>20</v>
      </c>
      <c r="R12" s="252">
        <f t="shared" si="6"/>
        <v>20</v>
      </c>
      <c r="S12" s="250"/>
      <c r="T12" s="250"/>
      <c r="U12" s="252" t="str">
        <f>'17.Facility 6 Horti Processing '!A169</f>
        <v>Loading/Unloading Charges</v>
      </c>
      <c r="V12" s="252">
        <f>'17.Facility 6 Horti Processing '!C169</f>
        <v>0</v>
      </c>
    </row>
    <row r="13" spans="3:22">
      <c r="C13" s="95"/>
      <c r="D13" s="95"/>
      <c r="E13" s="95"/>
      <c r="F13" s="96"/>
      <c r="G13" s="96"/>
      <c r="H13" s="96"/>
      <c r="I13" s="96"/>
      <c r="J13" s="96"/>
      <c r="K13" s="96"/>
      <c r="L13" s="94"/>
      <c r="M13" s="94"/>
      <c r="N13" s="252" t="str">
        <f>'13.Facility 2 Grain Processing'!A160</f>
        <v>packaging Exp</v>
      </c>
      <c r="O13" s="252">
        <f>'13.Facility 2 Grain Processing'!C160*2</f>
        <v>40</v>
      </c>
      <c r="P13" s="252">
        <f>O13</f>
        <v>40</v>
      </c>
      <c r="Q13" s="252">
        <f t="shared" si="6"/>
        <v>40</v>
      </c>
      <c r="R13" s="252">
        <f t="shared" si="6"/>
        <v>40</v>
      </c>
      <c r="S13" s="250"/>
      <c r="T13" s="250"/>
      <c r="U13" s="252" t="str">
        <f>'17.Facility 6 Horti Processing '!A170</f>
        <v>packaging Exp</v>
      </c>
      <c r="V13" s="10">
        <f>'17.Facility 6 Horti Processing '!C170*100</f>
        <v>0</v>
      </c>
    </row>
    <row r="14" spans="3:22">
      <c r="C14" s="97" t="s">
        <v>303</v>
      </c>
      <c r="D14" s="95"/>
      <c r="E14" s="95"/>
      <c r="F14" s="96"/>
      <c r="G14" s="96"/>
      <c r="H14" s="96"/>
      <c r="I14" s="96"/>
      <c r="J14" s="96"/>
      <c r="K14" s="96"/>
      <c r="L14" s="94"/>
      <c r="M14" s="94"/>
      <c r="N14" s="252"/>
      <c r="O14" s="10"/>
      <c r="P14" s="10"/>
      <c r="Q14" s="10"/>
      <c r="R14" s="10"/>
      <c r="S14" s="250"/>
      <c r="T14" s="250"/>
      <c r="U14" s="10"/>
      <c r="V14" s="10"/>
    </row>
    <row r="15" spans="3:22">
      <c r="C15" s="95" t="str">
        <f>C6</f>
        <v>Agri Input</v>
      </c>
      <c r="D15" s="281">
        <v>0</v>
      </c>
      <c r="E15" s="96"/>
      <c r="F15" s="96"/>
      <c r="G15" s="96"/>
      <c r="H15" s="96"/>
      <c r="I15" s="96"/>
      <c r="J15" s="96"/>
      <c r="K15" s="96"/>
      <c r="L15" s="94"/>
      <c r="M15" s="94"/>
      <c r="N15" s="10"/>
      <c r="O15" s="10"/>
      <c r="P15" s="10"/>
      <c r="Q15" s="10"/>
      <c r="R15" s="10"/>
      <c r="U15" s="10"/>
      <c r="V15" s="10"/>
    </row>
    <row r="16" spans="3:22">
      <c r="C16" s="95" t="str">
        <f>C7</f>
        <v>Trading</v>
      </c>
      <c r="D16" s="281">
        <v>0</v>
      </c>
      <c r="E16" s="96"/>
      <c r="F16" s="96"/>
      <c r="G16" s="96"/>
      <c r="H16" s="96"/>
      <c r="I16" s="96"/>
      <c r="J16" s="96"/>
      <c r="K16" s="96"/>
      <c r="L16" s="94"/>
      <c r="M16" s="94"/>
      <c r="N16" s="251" t="s">
        <v>329</v>
      </c>
      <c r="O16" s="255">
        <f>SUM(O8:O13)</f>
        <v>4936.25</v>
      </c>
      <c r="P16" s="255">
        <f>SUM(P8:P13)</f>
        <v>5936.25</v>
      </c>
      <c r="Q16" s="255">
        <f>SUM(Q8:Q13)</f>
        <v>5936.25</v>
      </c>
      <c r="R16" s="255">
        <f>SUM(R8:R13)</f>
        <v>6336.25</v>
      </c>
      <c r="U16" s="251" t="s">
        <v>1</v>
      </c>
      <c r="V16" s="255">
        <f>SUM(V8:V15)</f>
        <v>6000</v>
      </c>
    </row>
    <row r="17" spans="1:18">
      <c r="C17" s="95" t="str">
        <f>C8</f>
        <v xml:space="preserve">Grain Processing </v>
      </c>
      <c r="D17" s="281">
        <v>0.05</v>
      </c>
      <c r="E17" s="96">
        <f>SUM('13.Facility 2 Grain Processing'!D152:D160)*$D$17</f>
        <v>0</v>
      </c>
      <c r="F17" s="96">
        <f>SUM('13.Facility 2 Grain Processing'!E152:E160)*$D$17</f>
        <v>0</v>
      </c>
      <c r="G17" s="96">
        <f>SUM('13.Facility 2 Grain Processing'!F152:F160)*$D$17</f>
        <v>0</v>
      </c>
      <c r="H17" s="96">
        <f>SUM('13.Facility 2 Grain Processing'!G152:G160)*$D$17</f>
        <v>0</v>
      </c>
      <c r="I17" s="96">
        <f>SUM('13.Facility 2 Grain Processing'!H152:H160)*$D$17</f>
        <v>0</v>
      </c>
      <c r="J17" s="96">
        <f>SUM('13.Facility 2 Grain Processing'!I152:I160)*$D$17</f>
        <v>0</v>
      </c>
      <c r="K17" s="96">
        <f>SUM('13.Facility 2 Grain Processing'!J152:J160)*$D$17</f>
        <v>0</v>
      </c>
      <c r="L17" s="94"/>
      <c r="M17" s="94"/>
    </row>
    <row r="18" spans="1:18">
      <c r="C18" s="95" t="s">
        <v>481</v>
      </c>
      <c r="D18" s="281">
        <v>0.05</v>
      </c>
      <c r="E18" s="96">
        <f>SUM('17.Facility 6 Horti Processing '!D163:D171)*$D$18</f>
        <v>534283.90990000009</v>
      </c>
      <c r="F18" s="96">
        <f>SUM('17.Facility 6 Horti Processing '!E163:E171)*$D$18</f>
        <v>572563.82938125019</v>
      </c>
      <c r="G18" s="96">
        <f>SUM('17.Facility 6 Horti Processing '!F163:F171)*$D$18</f>
        <v>616864.03103587509</v>
      </c>
      <c r="H18" s="96">
        <f>SUM('17.Facility 6 Horti Processing '!G163:G171)*$D$18</f>
        <v>669266.01604032202</v>
      </c>
      <c r="I18" s="96">
        <f>SUM('17.Facility 6 Horti Processing '!H163:H171)*$D$18</f>
        <v>732325.653280942</v>
      </c>
      <c r="J18" s="96">
        <f>SUM('17.Facility 6 Horti Processing '!I163:I171)*$D$18</f>
        <v>810399.51458856021</v>
      </c>
      <c r="K18" s="96">
        <f>SUM('17.Facility 6 Horti Processing '!J163:J171)*$D$18</f>
        <v>910979.28297772026</v>
      </c>
      <c r="L18" s="94"/>
      <c r="M18" s="94"/>
    </row>
    <row r="19" spans="1:18">
      <c r="C19" s="95"/>
      <c r="D19" s="248"/>
      <c r="E19" s="96"/>
      <c r="F19" s="96"/>
      <c r="G19" s="96"/>
      <c r="H19" s="96"/>
      <c r="I19" s="96"/>
      <c r="J19" s="96"/>
      <c r="K19" s="96"/>
      <c r="L19" s="94"/>
      <c r="M19" s="94"/>
    </row>
    <row r="20" spans="1:18">
      <c r="C20" s="95"/>
      <c r="D20" s="95"/>
      <c r="E20" s="95"/>
      <c r="F20" s="96"/>
      <c r="G20" s="96"/>
      <c r="H20" s="96"/>
      <c r="I20" s="96"/>
      <c r="J20" s="96"/>
      <c r="K20" s="96"/>
      <c r="L20" s="94"/>
      <c r="M20" s="94"/>
    </row>
    <row r="21" spans="1:18">
      <c r="C21" s="95" t="s">
        <v>1</v>
      </c>
      <c r="D21" s="95"/>
      <c r="E21" s="203">
        <f t="shared" ref="E21:K21" si="7">SUM(E15:E20)</f>
        <v>534283.90990000009</v>
      </c>
      <c r="F21" s="96">
        <f t="shared" si="7"/>
        <v>572563.82938125019</v>
      </c>
      <c r="G21" s="96">
        <f t="shared" si="7"/>
        <v>616864.03103587509</v>
      </c>
      <c r="H21" s="96">
        <f t="shared" si="7"/>
        <v>669266.01604032202</v>
      </c>
      <c r="I21" s="96">
        <f t="shared" si="7"/>
        <v>732325.653280942</v>
      </c>
      <c r="J21" s="96">
        <f t="shared" si="7"/>
        <v>810399.51458856021</v>
      </c>
      <c r="K21" s="96">
        <f t="shared" si="7"/>
        <v>910979.28297772026</v>
      </c>
      <c r="L21" s="94"/>
      <c r="M21" s="94"/>
    </row>
    <row r="22" spans="1:18">
      <c r="C22" s="94"/>
      <c r="D22" s="94"/>
      <c r="E22" s="94"/>
      <c r="F22" s="94"/>
      <c r="G22" s="94"/>
      <c r="H22" s="94"/>
      <c r="I22" s="94"/>
      <c r="J22" s="94"/>
      <c r="K22" s="94"/>
      <c r="L22" s="94"/>
      <c r="M22" s="94"/>
    </row>
    <row r="23" spans="1:18" ht="41.1" customHeight="1">
      <c r="A23" s="432" t="s">
        <v>381</v>
      </c>
      <c r="B23" s="432"/>
      <c r="C23" s="432"/>
      <c r="D23" s="432"/>
      <c r="E23" s="432"/>
      <c r="F23" s="432"/>
      <c r="G23" s="432"/>
      <c r="H23" s="432"/>
      <c r="I23" s="432"/>
      <c r="J23" s="432"/>
      <c r="K23" s="432"/>
      <c r="L23" s="342"/>
      <c r="M23" s="342"/>
      <c r="N23" s="342"/>
      <c r="O23" s="291"/>
      <c r="P23" s="291"/>
      <c r="Q23" s="291"/>
      <c r="R23" s="291"/>
    </row>
    <row r="24" spans="1:18">
      <c r="A24" t="s">
        <v>492</v>
      </c>
    </row>
    <row r="25" spans="1:18">
      <c r="A25">
        <v>1</v>
      </c>
      <c r="B25" t="s">
        <v>495</v>
      </c>
    </row>
    <row r="28" spans="1:18" ht="18.75">
      <c r="B28" s="425" t="s">
        <v>518</v>
      </c>
      <c r="C28" s="425"/>
      <c r="D28" s="425"/>
      <c r="E28" s="425"/>
      <c r="F28" s="425"/>
      <c r="G28" s="425"/>
      <c r="H28" s="425"/>
      <c r="I28" s="425"/>
      <c r="J28" s="425"/>
      <c r="K28" s="425"/>
    </row>
    <row r="30" spans="1:18">
      <c r="B30" s="444" t="s">
        <v>110</v>
      </c>
      <c r="C30" s="444" t="s">
        <v>0</v>
      </c>
      <c r="D30" s="447" t="s">
        <v>325</v>
      </c>
      <c r="E30" s="449" t="s">
        <v>123</v>
      </c>
      <c r="F30" s="450"/>
      <c r="G30" s="450"/>
      <c r="H30" s="450"/>
      <c r="I30" s="450"/>
      <c r="J30" s="450"/>
      <c r="K30" s="450"/>
    </row>
    <row r="31" spans="1:18">
      <c r="B31" s="444"/>
      <c r="C31" s="444"/>
      <c r="D31" s="448"/>
      <c r="E31" s="214" t="s">
        <v>2</v>
      </c>
      <c r="F31" s="214" t="s">
        <v>3</v>
      </c>
      <c r="G31" s="214" t="s">
        <v>4</v>
      </c>
      <c r="H31" s="214" t="s">
        <v>5</v>
      </c>
      <c r="I31" s="214" t="s">
        <v>6</v>
      </c>
      <c r="J31" s="214" t="s">
        <v>134</v>
      </c>
      <c r="K31" s="214" t="s">
        <v>133</v>
      </c>
    </row>
    <row r="32" spans="1:18">
      <c r="B32" s="217"/>
      <c r="C32" s="218"/>
      <c r="D32" s="218"/>
      <c r="E32" s="219"/>
      <c r="F32" s="219"/>
      <c r="G32" s="219"/>
      <c r="H32" s="219"/>
      <c r="I32" s="219"/>
      <c r="J32" s="219"/>
      <c r="K32" s="219"/>
    </row>
    <row r="33" spans="2:11" ht="28.5">
      <c r="B33" s="220" t="s">
        <v>138</v>
      </c>
      <c r="C33" s="221" t="s">
        <v>304</v>
      </c>
      <c r="D33" s="235"/>
      <c r="E33" s="222"/>
      <c r="F33" s="222"/>
      <c r="G33" s="222"/>
      <c r="H33" s="222"/>
      <c r="I33" s="222"/>
      <c r="J33" s="222"/>
      <c r="K33" s="222"/>
    </row>
    <row r="34" spans="2:11">
      <c r="B34" s="277">
        <v>1</v>
      </c>
      <c r="C34" s="223" t="s">
        <v>327</v>
      </c>
      <c r="D34" s="235">
        <v>14</v>
      </c>
      <c r="E34" s="222"/>
      <c r="F34" s="222"/>
      <c r="G34" s="222"/>
      <c r="H34" s="222"/>
      <c r="I34" s="222"/>
      <c r="J34" s="222"/>
      <c r="K34" s="222"/>
    </row>
    <row r="35" spans="2:11">
      <c r="B35" s="277">
        <v>2</v>
      </c>
      <c r="C35" s="223" t="s">
        <v>322</v>
      </c>
      <c r="D35" s="235">
        <v>14</v>
      </c>
      <c r="E35" s="222"/>
      <c r="F35" s="222"/>
      <c r="G35" s="222"/>
      <c r="H35" s="222"/>
      <c r="I35" s="222"/>
      <c r="J35" s="222"/>
      <c r="K35" s="222"/>
    </row>
    <row r="36" spans="2:11">
      <c r="B36" s="277">
        <v>3</v>
      </c>
      <c r="C36" s="223" t="s">
        <v>323</v>
      </c>
      <c r="D36" s="235">
        <v>14</v>
      </c>
      <c r="E36" s="222"/>
      <c r="F36" s="222"/>
      <c r="G36" s="222"/>
      <c r="H36" s="222"/>
      <c r="I36" s="222"/>
      <c r="J36" s="222"/>
      <c r="K36" s="222"/>
    </row>
    <row r="37" spans="2:11">
      <c r="B37" s="277">
        <v>4</v>
      </c>
      <c r="C37" s="223" t="s">
        <v>105</v>
      </c>
      <c r="D37" s="235">
        <v>14</v>
      </c>
      <c r="E37" s="222">
        <f>('13.Facility 2 Grain Processing'!D148/365)*$D$37</f>
        <v>0</v>
      </c>
      <c r="F37" s="222">
        <f>('13.Facility 2 Grain Processing'!E148/365)*$D$37</f>
        <v>0</v>
      </c>
      <c r="G37" s="222">
        <f>('13.Facility 2 Grain Processing'!F148/365)*$D$37</f>
        <v>0</v>
      </c>
      <c r="H37" s="222">
        <f>('13.Facility 2 Grain Processing'!G148/365)*$D$37</f>
        <v>0</v>
      </c>
      <c r="I37" s="222">
        <f>('13.Facility 2 Grain Processing'!H148/365)*$D$37</f>
        <v>0</v>
      </c>
      <c r="J37" s="222">
        <f>('13.Facility 2 Grain Processing'!I148/365)*$D$37</f>
        <v>0</v>
      </c>
      <c r="K37" s="222">
        <f>('13.Facility 2 Grain Processing'!J148/365)*$D$37</f>
        <v>0</v>
      </c>
    </row>
    <row r="38" spans="2:11">
      <c r="B38" s="277">
        <v>5</v>
      </c>
      <c r="C38" s="223" t="s">
        <v>254</v>
      </c>
      <c r="D38" s="235">
        <v>14</v>
      </c>
      <c r="E38" s="222">
        <f>('14. Facility 3 Warehouse'!D23/365)*$D$38</f>
        <v>0</v>
      </c>
      <c r="F38" s="222">
        <f>('14. Facility 3 Warehouse'!E23/365)*$D$38</f>
        <v>0</v>
      </c>
      <c r="G38" s="222">
        <f>('14. Facility 3 Warehouse'!F23/365)*$D$38</f>
        <v>0</v>
      </c>
      <c r="H38" s="222">
        <f>('14. Facility 3 Warehouse'!G23/365)*$D$38</f>
        <v>0</v>
      </c>
      <c r="I38" s="222">
        <f>('14. Facility 3 Warehouse'!H23/365)*$D$38</f>
        <v>0</v>
      </c>
      <c r="J38" s="222">
        <f>('14. Facility 3 Warehouse'!I23/365)*$D$38</f>
        <v>0</v>
      </c>
      <c r="K38" s="222">
        <f>('14. Facility 3 Warehouse'!J23/365)*$D$38</f>
        <v>0</v>
      </c>
    </row>
    <row r="39" spans="2:11" ht="30">
      <c r="B39" s="277">
        <v>6</v>
      </c>
      <c r="C39" s="223" t="s">
        <v>487</v>
      </c>
      <c r="D39" s="235">
        <v>14</v>
      </c>
      <c r="E39" s="222">
        <f>('17.Facility 6 Horti Processing '!D159/365)*$D$39</f>
        <v>891953.50290410954</v>
      </c>
      <c r="F39" s="222">
        <f>('17.Facility 6 Horti Processing '!E159/365)*$D$39</f>
        <v>957836.4320958904</v>
      </c>
      <c r="G39" s="222">
        <f>('17.Facility 6 Horti Processing '!F159/365)*$D$39</f>
        <v>1028077.770449589</v>
      </c>
      <c r="H39" s="222">
        <f>('17.Facility 6 Horti Processing '!G159/365)*$D$39</f>
        <v>1102948.6515584183</v>
      </c>
      <c r="I39" s="222">
        <f>('17.Facility 6 Horti Processing '!H159/365)*$D$39</f>
        <v>1182736.4263520059</v>
      </c>
      <c r="J39" s="222">
        <f>('17.Facility 6 Horti Processing '!I159/365)*$D$39</f>
        <v>1267745.6069960566</v>
      </c>
      <c r="K39" s="222">
        <f>('17.Facility 6 Horti Processing '!J159/365)*$D$39</f>
        <v>1358298.8646386317</v>
      </c>
    </row>
    <row r="40" spans="2:11">
      <c r="B40" s="277"/>
      <c r="C40" s="223"/>
      <c r="D40" s="235"/>
      <c r="E40" s="222"/>
      <c r="F40" s="222"/>
      <c r="G40" s="222"/>
      <c r="H40" s="222"/>
      <c r="I40" s="222"/>
      <c r="J40" s="222"/>
      <c r="K40" s="222"/>
    </row>
    <row r="41" spans="2:11">
      <c r="B41" s="262"/>
      <c r="C41" s="221" t="s">
        <v>136</v>
      </c>
      <c r="D41" s="235"/>
      <c r="E41" s="222">
        <f>SUM(E34:E40)</f>
        <v>891953.50290410954</v>
      </c>
      <c r="F41" s="222">
        <f t="shared" ref="F41:K41" si="8">SUM(F34:F40)</f>
        <v>957836.4320958904</v>
      </c>
      <c r="G41" s="222">
        <f t="shared" si="8"/>
        <v>1028077.770449589</v>
      </c>
      <c r="H41" s="222">
        <f t="shared" si="8"/>
        <v>1102948.6515584183</v>
      </c>
      <c r="I41" s="222">
        <f t="shared" si="8"/>
        <v>1182736.4263520059</v>
      </c>
      <c r="J41" s="222">
        <f t="shared" si="8"/>
        <v>1267745.6069960566</v>
      </c>
      <c r="K41" s="222">
        <f t="shared" si="8"/>
        <v>1358298.8646386317</v>
      </c>
    </row>
    <row r="42" spans="2:11">
      <c r="B42" s="220" t="s">
        <v>139</v>
      </c>
      <c r="C42" s="221" t="s">
        <v>303</v>
      </c>
      <c r="D42" s="235"/>
      <c r="E42" s="222">
        <f>'5.Closing Stock &amp; W Capital'!E21</f>
        <v>534283.90990000009</v>
      </c>
      <c r="F42" s="222">
        <f>'5.Closing Stock &amp; W Capital'!F21</f>
        <v>572563.82938125019</v>
      </c>
      <c r="G42" s="222">
        <f>'5.Closing Stock &amp; W Capital'!G21</f>
        <v>616864.03103587509</v>
      </c>
      <c r="H42" s="222">
        <f>'5.Closing Stock &amp; W Capital'!H21</f>
        <v>669266.01604032202</v>
      </c>
      <c r="I42" s="222">
        <f>'5.Closing Stock &amp; W Capital'!I21</f>
        <v>732325.653280942</v>
      </c>
      <c r="J42" s="222">
        <f>'5.Closing Stock &amp; W Capital'!J21</f>
        <v>810399.51458856021</v>
      </c>
      <c r="K42" s="222">
        <f>'5.Closing Stock &amp; W Capital'!K21</f>
        <v>910979.28297772026</v>
      </c>
    </row>
    <row r="43" spans="2:11">
      <c r="B43" s="220"/>
      <c r="C43" s="223"/>
      <c r="D43" s="235"/>
      <c r="E43" s="222"/>
      <c r="F43" s="222"/>
      <c r="G43" s="222"/>
      <c r="H43" s="222"/>
      <c r="I43" s="222"/>
      <c r="J43" s="222"/>
      <c r="K43" s="222"/>
    </row>
    <row r="44" spans="2:11">
      <c r="B44" s="445" t="s">
        <v>1</v>
      </c>
      <c r="C44" s="446"/>
      <c r="D44" s="247"/>
      <c r="E44" s="224">
        <f>SUM(E41:E42)</f>
        <v>1426237.4128041095</v>
      </c>
      <c r="F44" s="224">
        <f t="shared" ref="F44:K44" si="9">SUM(F41:F42)</f>
        <v>1530400.2614771407</v>
      </c>
      <c r="G44" s="224">
        <f t="shared" si="9"/>
        <v>1644941.801485464</v>
      </c>
      <c r="H44" s="224">
        <f t="shared" si="9"/>
        <v>1772214.6675987402</v>
      </c>
      <c r="I44" s="224">
        <f t="shared" si="9"/>
        <v>1915062.0796329479</v>
      </c>
      <c r="J44" s="224">
        <f t="shared" si="9"/>
        <v>2078145.1215846168</v>
      </c>
      <c r="K44" s="224">
        <f t="shared" si="9"/>
        <v>2269278.147616352</v>
      </c>
    </row>
    <row r="45" spans="2:11">
      <c r="B45" s="220"/>
      <c r="C45" s="221"/>
      <c r="D45" s="235"/>
      <c r="E45" s="222"/>
      <c r="F45" s="222"/>
      <c r="G45" s="222"/>
      <c r="H45" s="222"/>
      <c r="I45" s="222"/>
      <c r="J45" s="222"/>
      <c r="K45" s="222"/>
    </row>
    <row r="46" spans="2:11" ht="34.5" customHeight="1">
      <c r="B46" s="220" t="s">
        <v>140</v>
      </c>
      <c r="C46" s="223" t="s">
        <v>305</v>
      </c>
      <c r="D46" s="235"/>
      <c r="E46" s="222"/>
      <c r="F46" s="222"/>
      <c r="G46" s="222"/>
      <c r="H46" s="222"/>
      <c r="I46" s="222"/>
      <c r="J46" s="222"/>
      <c r="K46" s="222"/>
    </row>
    <row r="47" spans="2:11">
      <c r="B47" s="277">
        <v>1</v>
      </c>
      <c r="C47" s="223" t="str">
        <f t="shared" ref="C47:C52" si="10">C34</f>
        <v>Agri Input</v>
      </c>
      <c r="D47" s="235">
        <v>7</v>
      </c>
      <c r="E47" s="222"/>
      <c r="F47" s="222"/>
      <c r="G47" s="222"/>
      <c r="H47" s="222"/>
      <c r="I47" s="222"/>
      <c r="J47" s="222"/>
      <c r="K47" s="222"/>
    </row>
    <row r="48" spans="2:11">
      <c r="B48" s="277">
        <v>2</v>
      </c>
      <c r="C48" s="223" t="str">
        <f t="shared" si="10"/>
        <v>Custom Hiring</v>
      </c>
      <c r="D48" s="235">
        <v>7</v>
      </c>
      <c r="E48" s="222"/>
      <c r="F48" s="222"/>
      <c r="G48" s="222"/>
      <c r="H48" s="222"/>
      <c r="I48" s="222"/>
      <c r="J48" s="222"/>
      <c r="K48" s="222"/>
    </row>
    <row r="49" spans="1:12">
      <c r="B49" s="277">
        <v>3</v>
      </c>
      <c r="C49" s="223" t="str">
        <f t="shared" si="10"/>
        <v>Cleaning &amp; Grading</v>
      </c>
      <c r="D49" s="235">
        <v>7</v>
      </c>
      <c r="E49" s="222"/>
      <c r="F49" s="222"/>
      <c r="G49" s="222"/>
      <c r="H49" s="222"/>
      <c r="I49" s="222"/>
      <c r="J49" s="222"/>
      <c r="K49" s="222"/>
    </row>
    <row r="50" spans="1:12">
      <c r="B50" s="277">
        <v>4</v>
      </c>
      <c r="C50" s="223" t="str">
        <f t="shared" si="10"/>
        <v>Dal Mill</v>
      </c>
      <c r="D50" s="235">
        <v>7</v>
      </c>
      <c r="E50" s="222">
        <f>('13.Facility 2 Grain Processing'!D169/365)*$D$50</f>
        <v>0</v>
      </c>
      <c r="F50" s="222">
        <f>('13.Facility 2 Grain Processing'!E169/365)*$D$50</f>
        <v>0</v>
      </c>
      <c r="G50" s="222">
        <f>('13.Facility 2 Grain Processing'!F169/365)*$D$50</f>
        <v>0</v>
      </c>
      <c r="H50" s="222">
        <f>('13.Facility 2 Grain Processing'!G169/365)*$D$50</f>
        <v>0</v>
      </c>
      <c r="I50" s="222">
        <f>('13.Facility 2 Grain Processing'!H169/365)*$D$50</f>
        <v>0</v>
      </c>
      <c r="J50" s="222">
        <f>('13.Facility 2 Grain Processing'!I169/365)*$D$50</f>
        <v>0</v>
      </c>
      <c r="K50" s="222">
        <f>('13.Facility 2 Grain Processing'!J169/365)*$D$50</f>
        <v>0</v>
      </c>
    </row>
    <row r="51" spans="1:12">
      <c r="B51" s="277">
        <v>5</v>
      </c>
      <c r="C51" s="223" t="str">
        <f t="shared" si="10"/>
        <v>Warehouse</v>
      </c>
      <c r="D51" s="235">
        <v>7</v>
      </c>
      <c r="E51" s="222">
        <f>('14. Facility 3 Warehouse'!D34/365)*$D$51</f>
        <v>0</v>
      </c>
      <c r="F51" s="222">
        <f>('14. Facility 3 Warehouse'!E34/365)*$D$51</f>
        <v>0</v>
      </c>
      <c r="G51" s="222">
        <f>('14. Facility 3 Warehouse'!F34/365)*$D$51</f>
        <v>0</v>
      </c>
      <c r="H51" s="222">
        <f>('14. Facility 3 Warehouse'!G34/365)*$D$51</f>
        <v>0</v>
      </c>
      <c r="I51" s="222">
        <f>('14. Facility 3 Warehouse'!H34/365)*$D$51</f>
        <v>0</v>
      </c>
      <c r="J51" s="222">
        <f>('14. Facility 3 Warehouse'!I34/365)*$D$51</f>
        <v>0</v>
      </c>
      <c r="K51" s="222">
        <f>('14. Facility 3 Warehouse'!J34/365)*$D$51</f>
        <v>0</v>
      </c>
    </row>
    <row r="52" spans="1:12" ht="30">
      <c r="B52" s="277"/>
      <c r="C52" s="223" t="str">
        <f t="shared" si="10"/>
        <v>Processing Unit - Horti Commodity</v>
      </c>
      <c r="D52" s="235">
        <v>7</v>
      </c>
      <c r="E52" s="222">
        <f>+SUM('17.Facility 6 Horti Processing '!D163:D171)/365*$D52</f>
        <v>204930.81475616441</v>
      </c>
      <c r="F52" s="222">
        <f>+SUM('17.Facility 6 Horti Processing '!E163:E171)/365*$D52</f>
        <v>219613.52359828772</v>
      </c>
      <c r="G52" s="222">
        <f>+SUM('17.Facility 6 Horti Processing '!F163:F171)/365*$D52</f>
        <v>236605.38176718494</v>
      </c>
      <c r="H52" s="222">
        <f>+SUM('17.Facility 6 Horti Processing '!G163:G171)/365*$D52</f>
        <v>256704.77327573992</v>
      </c>
      <c r="I52" s="222">
        <f>+SUM('17.Facility 6 Horti Processing '!H163:H171)/365*$D52</f>
        <v>280892.0313954298</v>
      </c>
      <c r="J52" s="222">
        <f>+SUM('17.Facility 6 Horti Processing '!I163:I171)/365*$D52</f>
        <v>310838.16997917375</v>
      </c>
      <c r="K52" s="222">
        <f>+SUM('17.Facility 6 Horti Processing '!J163:J171)/365*$D52</f>
        <v>349416.71127912553</v>
      </c>
    </row>
    <row r="53" spans="1:12">
      <c r="B53" s="277"/>
      <c r="C53" s="223"/>
      <c r="D53" s="235"/>
      <c r="E53" s="222"/>
      <c r="F53" s="222"/>
      <c r="G53" s="222"/>
      <c r="H53" s="222"/>
      <c r="I53" s="222"/>
      <c r="J53" s="222"/>
      <c r="K53" s="222"/>
    </row>
    <row r="54" spans="1:12">
      <c r="B54" s="215"/>
      <c r="C54" s="221" t="s">
        <v>1</v>
      </c>
      <c r="D54" s="235"/>
      <c r="E54" s="224">
        <f>SUM(E47:E53)</f>
        <v>204930.81475616441</v>
      </c>
      <c r="F54" s="224">
        <f t="shared" ref="F54:K54" si="11">SUM(F47:F53)</f>
        <v>219613.52359828772</v>
      </c>
      <c r="G54" s="224">
        <f t="shared" si="11"/>
        <v>236605.38176718494</v>
      </c>
      <c r="H54" s="224">
        <f t="shared" si="11"/>
        <v>256704.77327573992</v>
      </c>
      <c r="I54" s="224">
        <f t="shared" si="11"/>
        <v>280892.0313954298</v>
      </c>
      <c r="J54" s="224">
        <f t="shared" si="11"/>
        <v>310838.16997917375</v>
      </c>
      <c r="K54" s="224">
        <f t="shared" si="11"/>
        <v>349416.71127912553</v>
      </c>
    </row>
    <row r="55" spans="1:12">
      <c r="B55" s="220" t="s">
        <v>141</v>
      </c>
      <c r="C55" s="221" t="s">
        <v>122</v>
      </c>
      <c r="D55" s="235"/>
      <c r="E55" s="224">
        <f>E44-E54</f>
        <v>1221306.5980479452</v>
      </c>
      <c r="F55" s="224">
        <f t="shared" ref="F55:K55" si="12">F44-F54</f>
        <v>1310786.737878853</v>
      </c>
      <c r="G55" s="224">
        <f t="shared" si="12"/>
        <v>1408336.419718279</v>
      </c>
      <c r="H55" s="224">
        <f t="shared" si="12"/>
        <v>1515509.8943230002</v>
      </c>
      <c r="I55" s="224">
        <f t="shared" si="12"/>
        <v>1634170.0482375182</v>
      </c>
      <c r="J55" s="224">
        <f t="shared" si="12"/>
        <v>1767306.9516054431</v>
      </c>
      <c r="K55" s="224">
        <f t="shared" si="12"/>
        <v>1919861.4363372265</v>
      </c>
    </row>
    <row r="56" spans="1:12">
      <c r="B56" s="220"/>
      <c r="C56" s="221" t="s">
        <v>99</v>
      </c>
      <c r="D56" s="286">
        <v>1</v>
      </c>
      <c r="E56" s="224">
        <f>E55*$D$56</f>
        <v>1221306.5980479452</v>
      </c>
      <c r="F56" s="224">
        <f t="shared" ref="F56:K56" si="13">F55*$D$56</f>
        <v>1310786.737878853</v>
      </c>
      <c r="G56" s="224">
        <f t="shared" si="13"/>
        <v>1408336.419718279</v>
      </c>
      <c r="H56" s="224">
        <f t="shared" si="13"/>
        <v>1515509.8943230002</v>
      </c>
      <c r="I56" s="224">
        <f t="shared" si="13"/>
        <v>1634170.0482375182</v>
      </c>
      <c r="J56" s="224">
        <f t="shared" si="13"/>
        <v>1767306.9516054431</v>
      </c>
      <c r="K56" s="224">
        <f t="shared" si="13"/>
        <v>1919861.4363372265</v>
      </c>
    </row>
    <row r="58" spans="1:12">
      <c r="E58" s="29"/>
    </row>
    <row r="59" spans="1:12" ht="36.950000000000003" customHeight="1">
      <c r="A59" s="442" t="s">
        <v>376</v>
      </c>
      <c r="B59" s="443"/>
      <c r="C59" s="443"/>
      <c r="D59" s="443"/>
      <c r="E59" s="443"/>
      <c r="F59" s="443"/>
      <c r="G59" s="443"/>
      <c r="H59" s="443"/>
      <c r="I59" s="443"/>
      <c r="J59" s="443"/>
      <c r="K59" s="443"/>
      <c r="L59" s="443"/>
    </row>
    <row r="60" spans="1:12">
      <c r="A60" t="s">
        <v>496</v>
      </c>
    </row>
    <row r="61" spans="1:12">
      <c r="A61">
        <v>1</v>
      </c>
      <c r="B61" t="s">
        <v>497</v>
      </c>
    </row>
    <row r="62" spans="1:12">
      <c r="A62">
        <v>2</v>
      </c>
      <c r="B62" t="s">
        <v>498</v>
      </c>
    </row>
    <row r="63" spans="1:12">
      <c r="A63">
        <v>3</v>
      </c>
      <c r="B63" t="s">
        <v>499</v>
      </c>
    </row>
  </sheetData>
  <mergeCells count="13">
    <mergeCell ref="N6:R6"/>
    <mergeCell ref="U5:V5"/>
    <mergeCell ref="U6:V6"/>
    <mergeCell ref="C2:K2"/>
    <mergeCell ref="A23:K23"/>
    <mergeCell ref="N5:R5"/>
    <mergeCell ref="A59:L59"/>
    <mergeCell ref="B28:K28"/>
    <mergeCell ref="B30:B31"/>
    <mergeCell ref="C30:C31"/>
    <mergeCell ref="B44:C44"/>
    <mergeCell ref="D30:D31"/>
    <mergeCell ref="E30:K30"/>
  </mergeCells>
  <pageMargins left="0.70866141732283472" right="0.70866141732283472" top="0.74803149606299213" bottom="0.74803149606299213" header="0.31496062992125984" footer="0.31496062992125984"/>
  <pageSetup paperSize="9" scale="49" orientation="landscape" horizontalDpi="4294967292" r:id="rId1"/>
  <colBreaks count="1" manualBreakCount="1">
    <brk id="11" max="5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8"/>
  <sheetViews>
    <sheetView view="pageBreakPreview" topLeftCell="A10" zoomScale="80" zoomScaleNormal="100" zoomScaleSheetLayoutView="80" workbookViewId="0">
      <selection activeCell="O47" sqref="O47"/>
    </sheetView>
  </sheetViews>
  <sheetFormatPr defaultRowHeight="15"/>
  <cols>
    <col min="1" max="1" width="40.5703125" bestFit="1" customWidth="1"/>
    <col min="2" max="5" width="13.42578125" bestFit="1" customWidth="1"/>
    <col min="6" max="8" width="13.140625" bestFit="1" customWidth="1"/>
    <col min="9" max="9" width="8.5703125" customWidth="1"/>
    <col min="10" max="10" width="10.140625" bestFit="1" customWidth="1"/>
    <col min="11" max="11" width="9.5703125" bestFit="1" customWidth="1"/>
  </cols>
  <sheetData>
    <row r="2" spans="1:8" ht="18.75">
      <c r="A2" s="423" t="s">
        <v>519</v>
      </c>
      <c r="B2" s="423"/>
      <c r="C2" s="423"/>
      <c r="D2" s="423"/>
      <c r="E2" s="423"/>
      <c r="F2" s="423"/>
      <c r="G2" s="423"/>
      <c r="H2" s="423"/>
    </row>
    <row r="4" spans="1:8">
      <c r="B4" s="4"/>
      <c r="C4" s="4"/>
      <c r="D4" s="4"/>
      <c r="E4" s="4"/>
      <c r="F4" s="4"/>
    </row>
    <row r="5" spans="1:8">
      <c r="A5" s="148" t="s">
        <v>0</v>
      </c>
      <c r="B5" s="120" t="s">
        <v>2</v>
      </c>
      <c r="C5" s="120" t="s">
        <v>3</v>
      </c>
      <c r="D5" s="120" t="s">
        <v>4</v>
      </c>
      <c r="E5" s="120" t="s">
        <v>5</v>
      </c>
      <c r="F5" s="120" t="s">
        <v>6</v>
      </c>
      <c r="G5" s="120" t="s">
        <v>134</v>
      </c>
      <c r="H5" s="120" t="s">
        <v>133</v>
      </c>
    </row>
    <row r="6" spans="1:8">
      <c r="A6" s="97" t="s">
        <v>91</v>
      </c>
      <c r="B6" s="95"/>
      <c r="C6" s="95"/>
      <c r="D6" s="95"/>
      <c r="E6" s="95"/>
      <c r="F6" s="95"/>
      <c r="G6" s="95"/>
      <c r="H6" s="95"/>
    </row>
    <row r="7" spans="1:8">
      <c r="A7" s="95"/>
      <c r="B7" s="95"/>
      <c r="C7" s="95"/>
      <c r="D7" s="95"/>
      <c r="E7" s="95"/>
      <c r="F7" s="95"/>
      <c r="G7" s="95"/>
      <c r="H7" s="95"/>
    </row>
    <row r="8" spans="1:8">
      <c r="A8" s="95" t="s">
        <v>468</v>
      </c>
      <c r="B8" s="96">
        <f>'12.Facility 1 - Trading'!D204</f>
        <v>0</v>
      </c>
      <c r="C8" s="96">
        <f>'12.Facility 1 - Trading'!E204</f>
        <v>0</v>
      </c>
      <c r="D8" s="96">
        <f>'12.Facility 1 - Trading'!F204</f>
        <v>0</v>
      </c>
      <c r="E8" s="96">
        <f>'12.Facility 1 - Trading'!G204</f>
        <v>0</v>
      </c>
      <c r="F8" s="96">
        <f>'12.Facility 1 - Trading'!H204</f>
        <v>0</v>
      </c>
      <c r="G8" s="96">
        <f>'12.Facility 1 - Trading'!I204</f>
        <v>0</v>
      </c>
      <c r="H8" s="96">
        <f>'12.Facility 1 - Trading'!J204</f>
        <v>0</v>
      </c>
    </row>
    <row r="9" spans="1:8">
      <c r="A9" s="95" t="s">
        <v>469</v>
      </c>
      <c r="B9" s="96">
        <f>'13.Facility 2 Grain Processing'!D148</f>
        <v>0</v>
      </c>
      <c r="C9" s="96">
        <f>'13.Facility 2 Grain Processing'!E148</f>
        <v>0</v>
      </c>
      <c r="D9" s="96">
        <f>'13.Facility 2 Grain Processing'!F148</f>
        <v>0</v>
      </c>
      <c r="E9" s="96">
        <f>'13.Facility 2 Grain Processing'!G148</f>
        <v>0</v>
      </c>
      <c r="F9" s="96">
        <f>'13.Facility 2 Grain Processing'!H148</f>
        <v>0</v>
      </c>
      <c r="G9" s="96">
        <f>'13.Facility 2 Grain Processing'!I148</f>
        <v>0</v>
      </c>
      <c r="H9" s="96">
        <f>'13.Facility 2 Grain Processing'!J148</f>
        <v>0</v>
      </c>
    </row>
    <row r="10" spans="1:8">
      <c r="A10" s="95" t="s">
        <v>470</v>
      </c>
      <c r="B10" s="96">
        <f>'14. Facility 3 Warehouse'!D23</f>
        <v>0</v>
      </c>
      <c r="C10" s="96">
        <f>'14. Facility 3 Warehouse'!E23</f>
        <v>0</v>
      </c>
      <c r="D10" s="96">
        <f>'14. Facility 3 Warehouse'!F23</f>
        <v>0</v>
      </c>
      <c r="E10" s="96">
        <f>'14. Facility 3 Warehouse'!G23</f>
        <v>0</v>
      </c>
      <c r="F10" s="96">
        <f>'14. Facility 3 Warehouse'!H23</f>
        <v>0</v>
      </c>
      <c r="G10" s="96">
        <f>'14. Facility 3 Warehouse'!I23</f>
        <v>0</v>
      </c>
      <c r="H10" s="96">
        <f>'14. Facility 3 Warehouse'!J23</f>
        <v>0</v>
      </c>
    </row>
    <row r="11" spans="1:8">
      <c r="A11" s="95" t="s">
        <v>471</v>
      </c>
      <c r="B11" s="96">
        <f>'15. Facility 4 Custom Hiring'!E39</f>
        <v>0</v>
      </c>
      <c r="C11" s="96">
        <f>'15. Facility 4 Custom Hiring'!F39</f>
        <v>0</v>
      </c>
      <c r="D11" s="96">
        <f>'15. Facility 4 Custom Hiring'!G39</f>
        <v>0</v>
      </c>
      <c r="E11" s="96">
        <f>'15. Facility 4 Custom Hiring'!H39</f>
        <v>0</v>
      </c>
      <c r="F11" s="96">
        <f>'15. Facility 4 Custom Hiring'!I39</f>
        <v>0</v>
      </c>
      <c r="G11" s="96">
        <f>'15. Facility 4 Custom Hiring'!J39</f>
        <v>0</v>
      </c>
      <c r="H11" s="96">
        <f>'15. Facility 4 Custom Hiring'!K39</f>
        <v>0</v>
      </c>
    </row>
    <row r="12" spans="1:8">
      <c r="A12" s="95" t="s">
        <v>467</v>
      </c>
      <c r="B12" s="96">
        <f>'16.Facility 5 Agri Input'!D168</f>
        <v>0</v>
      </c>
      <c r="C12" s="96">
        <f>'16.Facility 5 Agri Input'!E168</f>
        <v>0</v>
      </c>
      <c r="D12" s="96">
        <f>'16.Facility 5 Agri Input'!F168</f>
        <v>0</v>
      </c>
      <c r="E12" s="96">
        <f>'16.Facility 5 Agri Input'!G168</f>
        <v>0</v>
      </c>
      <c r="F12" s="96">
        <f>'16.Facility 5 Agri Input'!H168</f>
        <v>0</v>
      </c>
      <c r="G12" s="96">
        <f>'16.Facility 5 Agri Input'!I168</f>
        <v>0</v>
      </c>
      <c r="H12" s="96">
        <f>'16.Facility 5 Agri Input'!J168</f>
        <v>0</v>
      </c>
    </row>
    <row r="13" spans="1:8">
      <c r="A13" s="95" t="s">
        <v>726</v>
      </c>
      <c r="B13" s="96">
        <f>'17.Facility 6 Horti Processing '!D159</f>
        <v>23254502.039999999</v>
      </c>
      <c r="C13" s="96">
        <f>'17.Facility 6 Horti Processing '!E159</f>
        <v>24972164.122500002</v>
      </c>
      <c r="D13" s="96">
        <f>'17.Facility 6 Horti Processing '!F159</f>
        <v>26803456.158149999</v>
      </c>
      <c r="E13" s="96">
        <f>'17.Facility 6 Horti Processing '!G159</f>
        <v>28755446.987058759</v>
      </c>
      <c r="F13" s="96">
        <f>'17.Facility 6 Horti Processing '!H159</f>
        <v>30835628.258463006</v>
      </c>
      <c r="G13" s="96">
        <f>'17.Facility 6 Horti Processing '!I159</f>
        <v>33051939.039540045</v>
      </c>
      <c r="H13" s="96">
        <f>'17.Facility 6 Horti Processing '!J159</f>
        <v>35412791.828078613</v>
      </c>
    </row>
    <row r="14" spans="1:8">
      <c r="A14" s="95"/>
      <c r="B14" s="96"/>
      <c r="C14" s="96"/>
      <c r="D14" s="96"/>
      <c r="E14" s="96"/>
      <c r="F14" s="96"/>
      <c r="G14" s="96"/>
      <c r="H14" s="96"/>
    </row>
    <row r="15" spans="1:8">
      <c r="A15" s="97" t="s">
        <v>108</v>
      </c>
      <c r="B15" s="115">
        <f>SUM(B8:B14)</f>
        <v>23254502.039999999</v>
      </c>
      <c r="C15" s="115">
        <f t="shared" ref="C15:H15" si="0">SUM(C8:C14)</f>
        <v>24972164.122500002</v>
      </c>
      <c r="D15" s="115">
        <f t="shared" si="0"/>
        <v>26803456.158149999</v>
      </c>
      <c r="E15" s="115">
        <f t="shared" si="0"/>
        <v>28755446.987058759</v>
      </c>
      <c r="F15" s="115">
        <f t="shared" si="0"/>
        <v>30835628.258463006</v>
      </c>
      <c r="G15" s="115">
        <f t="shared" si="0"/>
        <v>33051939.039540045</v>
      </c>
      <c r="H15" s="115">
        <f t="shared" si="0"/>
        <v>35412791.828078613</v>
      </c>
    </row>
    <row r="16" spans="1:8">
      <c r="A16" s="95"/>
      <c r="B16" s="96"/>
      <c r="C16" s="96"/>
      <c r="D16" s="96"/>
      <c r="E16" s="96"/>
      <c r="F16" s="96"/>
      <c r="G16" s="96"/>
      <c r="H16" s="96"/>
    </row>
    <row r="17" spans="1:8">
      <c r="A17" s="97" t="s">
        <v>266</v>
      </c>
      <c r="B17" s="96"/>
      <c r="C17" s="96"/>
      <c r="D17" s="96"/>
      <c r="E17" s="96"/>
      <c r="F17" s="96"/>
      <c r="G17" s="96"/>
      <c r="H17" s="96"/>
    </row>
    <row r="18" spans="1:8">
      <c r="A18" s="95" t="str">
        <f t="shared" ref="A18:A23" si="1">A8</f>
        <v>Faclitiy 1 - Cleaning &amp; Grading</v>
      </c>
      <c r="B18" s="96">
        <f>'12.Facility 1 - Trading'!D262</f>
        <v>0</v>
      </c>
      <c r="C18" s="96">
        <f>'12.Facility 1 - Trading'!E262</f>
        <v>0</v>
      </c>
      <c r="D18" s="96">
        <f>'12.Facility 1 - Trading'!F262</f>
        <v>0</v>
      </c>
      <c r="E18" s="96">
        <f>'12.Facility 1 - Trading'!G262</f>
        <v>0</v>
      </c>
      <c r="F18" s="96">
        <f>'12.Facility 1 - Trading'!H262</f>
        <v>0</v>
      </c>
      <c r="G18" s="96">
        <f>'12.Facility 1 - Trading'!I262</f>
        <v>0</v>
      </c>
      <c r="H18" s="96">
        <f>'12.Facility 1 - Trading'!J262</f>
        <v>0</v>
      </c>
    </row>
    <row r="19" spans="1:8">
      <c r="A19" s="95" t="str">
        <f t="shared" si="1"/>
        <v>Faclitiy 2 - Processing Unit- Dal Mill</v>
      </c>
      <c r="B19" s="96">
        <f>'13.Facility 2 Grain Processing'!D169</f>
        <v>0</v>
      </c>
      <c r="C19" s="96">
        <f>'13.Facility 2 Grain Processing'!E169</f>
        <v>0</v>
      </c>
      <c r="D19" s="96">
        <f>'13.Facility 2 Grain Processing'!F169</f>
        <v>0</v>
      </c>
      <c r="E19" s="96">
        <f>'13.Facility 2 Grain Processing'!G169</f>
        <v>0</v>
      </c>
      <c r="F19" s="96">
        <f>'13.Facility 2 Grain Processing'!H169</f>
        <v>0</v>
      </c>
      <c r="G19" s="96">
        <f>'13.Facility 2 Grain Processing'!I169</f>
        <v>0</v>
      </c>
      <c r="H19" s="96">
        <f>'13.Facility 2 Grain Processing'!J169</f>
        <v>0</v>
      </c>
    </row>
    <row r="20" spans="1:8">
      <c r="A20" s="95" t="str">
        <f t="shared" si="1"/>
        <v>Faclitiy 3 - Warehouse</v>
      </c>
      <c r="B20" s="96">
        <f>'14. Facility 3 Warehouse'!D34</f>
        <v>0</v>
      </c>
      <c r="C20" s="96">
        <f>'14. Facility 3 Warehouse'!E34</f>
        <v>0</v>
      </c>
      <c r="D20" s="96">
        <f>'14. Facility 3 Warehouse'!F34</f>
        <v>0</v>
      </c>
      <c r="E20" s="96">
        <f>'14. Facility 3 Warehouse'!G34</f>
        <v>0</v>
      </c>
      <c r="F20" s="96">
        <f>'14. Facility 3 Warehouse'!H34</f>
        <v>0</v>
      </c>
      <c r="G20" s="96">
        <f>'14. Facility 3 Warehouse'!I34</f>
        <v>0</v>
      </c>
      <c r="H20" s="96">
        <f>'14. Facility 3 Warehouse'!J34</f>
        <v>0</v>
      </c>
    </row>
    <row r="21" spans="1:8">
      <c r="A21" s="95" t="str">
        <f t="shared" si="1"/>
        <v xml:space="preserve">Faclitiy 4 - Custom Hiring </v>
      </c>
      <c r="B21" s="96">
        <f>'15. Facility 4 Custom Hiring'!E49</f>
        <v>0</v>
      </c>
      <c r="C21" s="96">
        <f>'15. Facility 4 Custom Hiring'!F49</f>
        <v>0</v>
      </c>
      <c r="D21" s="96">
        <f>'15. Facility 4 Custom Hiring'!G49</f>
        <v>0</v>
      </c>
      <c r="E21" s="96">
        <f>'15. Facility 4 Custom Hiring'!H49</f>
        <v>0</v>
      </c>
      <c r="F21" s="96">
        <f>'15. Facility 4 Custom Hiring'!I49</f>
        <v>0</v>
      </c>
      <c r="G21" s="96">
        <f>'15. Facility 4 Custom Hiring'!J49</f>
        <v>0</v>
      </c>
      <c r="H21" s="96">
        <f>'15. Facility 4 Custom Hiring'!K49</f>
        <v>0</v>
      </c>
    </row>
    <row r="22" spans="1:8">
      <c r="A22" s="95" t="str">
        <f t="shared" si="1"/>
        <v>Faclitiy 5 - Agri Input Centre</v>
      </c>
      <c r="B22" s="96">
        <f>'16.Facility 5 Agri Input'!D233</f>
        <v>0</v>
      </c>
      <c r="C22" s="96">
        <f>'16.Facility 5 Agri Input'!E233</f>
        <v>0</v>
      </c>
      <c r="D22" s="96">
        <f>'16.Facility 5 Agri Input'!F233</f>
        <v>0</v>
      </c>
      <c r="E22" s="96">
        <f>'16.Facility 5 Agri Input'!G233</f>
        <v>0</v>
      </c>
      <c r="F22" s="96">
        <f>'16.Facility 5 Agri Input'!H233</f>
        <v>0</v>
      </c>
      <c r="G22" s="96">
        <f>'16.Facility 5 Agri Input'!I233</f>
        <v>0</v>
      </c>
      <c r="H22" s="96">
        <f>'16.Facility 5 Agri Input'!J233</f>
        <v>0</v>
      </c>
    </row>
    <row r="23" spans="1:8">
      <c r="A23" s="95" t="str">
        <f t="shared" si="1"/>
        <v>Facility 1 - Food Processing Unit</v>
      </c>
      <c r="B23" s="96">
        <f>'17.Facility 6 Horti Processing '!D176</f>
        <v>10151394.2881</v>
      </c>
      <c r="C23" s="96">
        <f>'17.Facility 6 Horti Processing '!E176</f>
        <v>11412996.668143753</v>
      </c>
      <c r="D23" s="96">
        <f>'17.Facility 6 Horti Processing '!F176</f>
        <v>12292980.419062875</v>
      </c>
      <c r="E23" s="96">
        <f>'17.Facility 6 Horti Processing '!G176</f>
        <v>13332918.335801994</v>
      </c>
      <c r="F23" s="96">
        <f>'17.Facility 6 Horti Processing '!H176</f>
        <v>14583453.428378219</v>
      </c>
      <c r="G23" s="96">
        <f>'17.Facility 6 Horti Processing '!I176</f>
        <v>16129916.430463586</v>
      </c>
      <c r="H23" s="96">
        <f>'17.Facility 6 Horti Processing '!J176</f>
        <v>18119005.891165245</v>
      </c>
    </row>
    <row r="24" spans="1:8">
      <c r="A24" s="95"/>
      <c r="B24" s="96"/>
      <c r="C24" s="96"/>
      <c r="D24" s="96"/>
      <c r="E24" s="96"/>
      <c r="F24" s="96"/>
      <c r="G24" s="96"/>
      <c r="H24" s="96"/>
    </row>
    <row r="25" spans="1:8">
      <c r="A25" s="97" t="s">
        <v>277</v>
      </c>
      <c r="B25" s="115">
        <f>SUM(B18:B24)</f>
        <v>10151394.2881</v>
      </c>
      <c r="C25" s="115">
        <f t="shared" ref="C25:H25" si="2">SUM(C18:C24)</f>
        <v>11412996.668143753</v>
      </c>
      <c r="D25" s="115">
        <f t="shared" si="2"/>
        <v>12292980.419062875</v>
      </c>
      <c r="E25" s="115">
        <f t="shared" si="2"/>
        <v>13332918.335801994</v>
      </c>
      <c r="F25" s="115">
        <f t="shared" si="2"/>
        <v>14583453.428378219</v>
      </c>
      <c r="G25" s="115">
        <f t="shared" si="2"/>
        <v>16129916.430463586</v>
      </c>
      <c r="H25" s="115">
        <f t="shared" si="2"/>
        <v>18119005.891165245</v>
      </c>
    </row>
    <row r="26" spans="1:8">
      <c r="A26" s="95"/>
      <c r="B26" s="96"/>
      <c r="C26" s="96"/>
      <c r="D26" s="96"/>
      <c r="E26" s="96"/>
      <c r="F26" s="96"/>
      <c r="G26" s="96"/>
      <c r="H26" s="96"/>
    </row>
    <row r="27" spans="1:8">
      <c r="A27" s="97" t="s">
        <v>264</v>
      </c>
      <c r="B27" s="96"/>
      <c r="C27" s="96"/>
      <c r="D27" s="96"/>
      <c r="E27" s="96"/>
      <c r="F27" s="96"/>
      <c r="G27" s="96"/>
      <c r="H27" s="96"/>
    </row>
    <row r="28" spans="1:8">
      <c r="A28" s="95" t="str">
        <f t="shared" ref="A28:A33" si="3">A18</f>
        <v>Faclitiy 1 - Cleaning &amp; Grading</v>
      </c>
      <c r="B28" s="96">
        <f>'12.Facility 1 - Trading'!D271</f>
        <v>0</v>
      </c>
      <c r="C28" s="96">
        <f>'12.Facility 1 - Trading'!E271</f>
        <v>0</v>
      </c>
      <c r="D28" s="96">
        <f>'12.Facility 1 - Trading'!F271</f>
        <v>0</v>
      </c>
      <c r="E28" s="96">
        <f>'12.Facility 1 - Trading'!G271</f>
        <v>0</v>
      </c>
      <c r="F28" s="96">
        <f>'12.Facility 1 - Trading'!H271</f>
        <v>0</v>
      </c>
      <c r="G28" s="96">
        <f>'12.Facility 1 - Trading'!I271</f>
        <v>0</v>
      </c>
      <c r="H28" s="96">
        <f>'12.Facility 1 - Trading'!J271</f>
        <v>0</v>
      </c>
    </row>
    <row r="29" spans="1:8">
      <c r="A29" s="95" t="str">
        <f t="shared" si="3"/>
        <v>Faclitiy 2 - Processing Unit- Dal Mill</v>
      </c>
      <c r="B29" s="96">
        <f>'13.Facility 2 Grain Processing'!D177</f>
        <v>0</v>
      </c>
      <c r="C29" s="96">
        <f>'13.Facility 2 Grain Processing'!E177</f>
        <v>0</v>
      </c>
      <c r="D29" s="96">
        <f>'13.Facility 2 Grain Processing'!F177</f>
        <v>0</v>
      </c>
      <c r="E29" s="96">
        <f>'13.Facility 2 Grain Processing'!G177</f>
        <v>0</v>
      </c>
      <c r="F29" s="96">
        <f>'13.Facility 2 Grain Processing'!H177</f>
        <v>0</v>
      </c>
      <c r="G29" s="96">
        <f>'13.Facility 2 Grain Processing'!I177</f>
        <v>0</v>
      </c>
      <c r="H29" s="96">
        <f>'13.Facility 2 Grain Processing'!J177</f>
        <v>0</v>
      </c>
    </row>
    <row r="30" spans="1:8">
      <c r="A30" s="95" t="str">
        <f t="shared" si="3"/>
        <v>Faclitiy 3 - Warehouse</v>
      </c>
      <c r="B30" s="96">
        <f>'14. Facility 3 Warehouse'!D43</f>
        <v>0</v>
      </c>
      <c r="C30" s="96">
        <f>'14. Facility 3 Warehouse'!E43</f>
        <v>0</v>
      </c>
      <c r="D30" s="96">
        <f>'14. Facility 3 Warehouse'!F43</f>
        <v>0</v>
      </c>
      <c r="E30" s="96">
        <f>'14. Facility 3 Warehouse'!G43</f>
        <v>0</v>
      </c>
      <c r="F30" s="96">
        <f>'14. Facility 3 Warehouse'!H43</f>
        <v>0</v>
      </c>
      <c r="G30" s="96">
        <f>'14. Facility 3 Warehouse'!I43</f>
        <v>0</v>
      </c>
      <c r="H30" s="96">
        <f>'14. Facility 3 Warehouse'!J43</f>
        <v>0</v>
      </c>
    </row>
    <row r="31" spans="1:8">
      <c r="A31" s="95" t="str">
        <f t="shared" si="3"/>
        <v xml:space="preserve">Faclitiy 4 - Custom Hiring </v>
      </c>
      <c r="B31" s="96">
        <f>'15. Facility 4 Custom Hiring'!E56</f>
        <v>0</v>
      </c>
      <c r="C31" s="96">
        <f>'15. Facility 4 Custom Hiring'!F56</f>
        <v>0</v>
      </c>
      <c r="D31" s="96">
        <f>'15. Facility 4 Custom Hiring'!G56</f>
        <v>0</v>
      </c>
      <c r="E31" s="96">
        <f>'15. Facility 4 Custom Hiring'!H56</f>
        <v>0</v>
      </c>
      <c r="F31" s="96">
        <f>'15. Facility 4 Custom Hiring'!I56</f>
        <v>0</v>
      </c>
      <c r="G31" s="96">
        <f>'15. Facility 4 Custom Hiring'!J56</f>
        <v>0</v>
      </c>
      <c r="H31" s="96">
        <f>'15. Facility 4 Custom Hiring'!K56</f>
        <v>0</v>
      </c>
    </row>
    <row r="32" spans="1:8">
      <c r="A32" s="95" t="str">
        <f t="shared" si="3"/>
        <v>Faclitiy 5 - Agri Input Centre</v>
      </c>
      <c r="B32" s="96">
        <f>'16.Facility 5 Agri Input'!D244</f>
        <v>0</v>
      </c>
      <c r="C32" s="96">
        <f>'16.Facility 5 Agri Input'!E244</f>
        <v>0</v>
      </c>
      <c r="D32" s="96">
        <f>'16.Facility 5 Agri Input'!F244</f>
        <v>0</v>
      </c>
      <c r="E32" s="96">
        <f>'16.Facility 5 Agri Input'!G244</f>
        <v>0</v>
      </c>
      <c r="F32" s="96">
        <f>'16.Facility 5 Agri Input'!H244</f>
        <v>0</v>
      </c>
      <c r="G32" s="96">
        <f>'16.Facility 5 Agri Input'!I244</f>
        <v>0</v>
      </c>
      <c r="H32" s="96">
        <f>'16.Facility 5 Agri Input'!J244</f>
        <v>0</v>
      </c>
    </row>
    <row r="33" spans="1:10">
      <c r="A33" s="95" t="str">
        <f t="shared" si="3"/>
        <v>Facility 1 - Food Processing Unit</v>
      </c>
      <c r="B33" s="96">
        <f>'17.Facility 6 Horti Processing '!D184</f>
        <v>300000</v>
      </c>
      <c r="C33" s="96">
        <f>'17.Facility 6 Horti Processing '!E184</f>
        <v>315000</v>
      </c>
      <c r="D33" s="96">
        <f>'17.Facility 6 Horti Processing '!F184</f>
        <v>330750</v>
      </c>
      <c r="E33" s="96">
        <f>'17.Facility 6 Horti Processing '!G184</f>
        <v>347287.50000000006</v>
      </c>
      <c r="F33" s="96">
        <f>'17.Facility 6 Horti Processing '!H184</f>
        <v>364651.87500000006</v>
      </c>
      <c r="G33" s="96">
        <f>'17.Facility 6 Horti Processing '!I184</f>
        <v>382884.46875000012</v>
      </c>
      <c r="H33" s="96">
        <f>'17.Facility 6 Horti Processing '!J184</f>
        <v>402028.69218750013</v>
      </c>
    </row>
    <row r="34" spans="1:10">
      <c r="A34" s="95"/>
      <c r="B34" s="96"/>
      <c r="C34" s="96"/>
      <c r="D34" s="96"/>
      <c r="E34" s="96"/>
      <c r="F34" s="96"/>
      <c r="G34" s="96"/>
      <c r="H34" s="96"/>
    </row>
    <row r="35" spans="1:10">
      <c r="A35" s="95" t="s">
        <v>9</v>
      </c>
      <c r="B35" s="96">
        <f>'3.Other Exp &amp; Taxes'!E23</f>
        <v>1254800</v>
      </c>
      <c r="C35" s="96">
        <f>'3.Other Exp &amp; Taxes'!F23</f>
        <v>1317540</v>
      </c>
      <c r="D35" s="96">
        <f>'3.Other Exp &amp; Taxes'!G23</f>
        <v>1383417</v>
      </c>
      <c r="E35" s="96">
        <f>'3.Other Exp &amp; Taxes'!H23</f>
        <v>1452587.8500000003</v>
      </c>
      <c r="F35" s="96">
        <f>'3.Other Exp &amp; Taxes'!I23</f>
        <v>1525217.2425000002</v>
      </c>
      <c r="G35" s="96">
        <f>'3.Other Exp &amp; Taxes'!J23</f>
        <v>1601478.1046250002</v>
      </c>
      <c r="H35" s="96">
        <f>'3.Other Exp &amp; Taxes'!K23</f>
        <v>1681552.0098562504</v>
      </c>
    </row>
    <row r="36" spans="1:10">
      <c r="A36" s="97" t="s">
        <v>281</v>
      </c>
      <c r="B36" s="115">
        <f t="shared" ref="B36:H36" si="4">SUM(B28:B35)</f>
        <v>1554800</v>
      </c>
      <c r="C36" s="115">
        <f t="shared" si="4"/>
        <v>1632540</v>
      </c>
      <c r="D36" s="115">
        <f t="shared" si="4"/>
        <v>1714167</v>
      </c>
      <c r="E36" s="115">
        <f t="shared" si="4"/>
        <v>1799875.3500000003</v>
      </c>
      <c r="F36" s="115">
        <f t="shared" si="4"/>
        <v>1889869.1175000002</v>
      </c>
      <c r="G36" s="115">
        <f t="shared" si="4"/>
        <v>1984362.5733750002</v>
      </c>
      <c r="H36" s="115">
        <f t="shared" si="4"/>
        <v>2083580.7020437506</v>
      </c>
    </row>
    <row r="37" spans="1:10">
      <c r="A37" s="95"/>
      <c r="B37" s="96"/>
      <c r="C37" s="96"/>
      <c r="D37" s="96"/>
      <c r="E37" s="96"/>
      <c r="F37" s="96"/>
      <c r="G37" s="96"/>
      <c r="H37" s="96"/>
    </row>
    <row r="38" spans="1:10">
      <c r="A38" s="97" t="s">
        <v>286</v>
      </c>
      <c r="B38" s="115">
        <f t="shared" ref="B38:H38" si="5">B25+B36</f>
        <v>11706194.2881</v>
      </c>
      <c r="C38" s="115">
        <f t="shared" si="5"/>
        <v>13045536.668143753</v>
      </c>
      <c r="D38" s="115">
        <f t="shared" si="5"/>
        <v>14007147.419062875</v>
      </c>
      <c r="E38" s="115">
        <f t="shared" si="5"/>
        <v>15132793.685801994</v>
      </c>
      <c r="F38" s="115">
        <f t="shared" si="5"/>
        <v>16473322.545878218</v>
      </c>
      <c r="G38" s="115">
        <f t="shared" si="5"/>
        <v>18114279.003838588</v>
      </c>
      <c r="H38" s="115">
        <f t="shared" si="5"/>
        <v>20202586.593208995</v>
      </c>
    </row>
    <row r="39" spans="1:10">
      <c r="A39" s="95"/>
      <c r="B39" s="96"/>
      <c r="C39" s="96"/>
      <c r="D39" s="96"/>
      <c r="E39" s="96"/>
      <c r="F39" s="96"/>
      <c r="G39" s="96"/>
      <c r="H39" s="96"/>
    </row>
    <row r="40" spans="1:10">
      <c r="A40" s="97" t="s">
        <v>101</v>
      </c>
      <c r="B40" s="115">
        <f t="shared" ref="B40:H40" si="6">B15-B38</f>
        <v>11548307.751899999</v>
      </c>
      <c r="C40" s="115">
        <f t="shared" si="6"/>
        <v>11926627.454356249</v>
      </c>
      <c r="D40" s="115">
        <f t="shared" si="6"/>
        <v>12796308.739087123</v>
      </c>
      <c r="E40" s="115">
        <f t="shared" si="6"/>
        <v>13622653.301256765</v>
      </c>
      <c r="F40" s="115">
        <f t="shared" si="6"/>
        <v>14362305.712584788</v>
      </c>
      <c r="G40" s="115">
        <f t="shared" si="6"/>
        <v>14937660.035701457</v>
      </c>
      <c r="H40" s="115">
        <f t="shared" si="6"/>
        <v>15210205.234869618</v>
      </c>
      <c r="J40" s="67">
        <f>B49+B42+B43</f>
        <v>9856378.2418851443</v>
      </c>
    </row>
    <row r="41" spans="1:10">
      <c r="A41" s="95"/>
      <c r="B41" s="96"/>
      <c r="C41" s="96"/>
      <c r="D41" s="96"/>
      <c r="E41" s="96"/>
      <c r="F41" s="96"/>
      <c r="G41" s="96"/>
      <c r="H41" s="96"/>
      <c r="J41">
        <f>'5.Closing Stock &amp; W Capital'!E56</f>
        <v>1221306.5980479452</v>
      </c>
    </row>
    <row r="42" spans="1:10">
      <c r="A42" s="99" t="s">
        <v>17</v>
      </c>
      <c r="B42" s="96">
        <f>+'3.Other Exp &amp; Taxes'!K66</f>
        <v>6450931.9730000002</v>
      </c>
      <c r="C42" s="96">
        <f>+'3.Other Exp &amp; Taxes'!L66</f>
        <v>5564059.4606999997</v>
      </c>
      <c r="D42" s="96">
        <f>+'3.Other Exp &amp; Taxes'!M66</f>
        <v>4802141.0968800001</v>
      </c>
      <c r="E42" s="96">
        <f>+'3.Other Exp &amp; Taxes'!N66</f>
        <v>4147241.4321044995</v>
      </c>
      <c r="F42" s="96">
        <f>+'3.Other Exp &amp; Taxes'!O66</f>
        <v>3584034.5670696748</v>
      </c>
      <c r="G42" s="96">
        <f>+'3.Other Exp &amp; Taxes'!P66</f>
        <v>3099420.7968119881</v>
      </c>
      <c r="H42" s="96">
        <f>+'3.Other Exp &amp; Taxes'!Q66</f>
        <v>2682199.9506126782</v>
      </c>
      <c r="J42" s="67">
        <f>J40+J41</f>
        <v>11077684.83993309</v>
      </c>
    </row>
    <row r="43" spans="1:10">
      <c r="A43" s="99" t="s">
        <v>102</v>
      </c>
      <c r="B43" s="96">
        <f>'3.Other Exp &amp; Taxes'!C86</f>
        <v>76720</v>
      </c>
      <c r="C43" s="96">
        <f>'3.Other Exp &amp; Taxes'!D86</f>
        <v>76720</v>
      </c>
      <c r="D43" s="96">
        <f>'3.Other Exp &amp; Taxes'!E86</f>
        <v>76720</v>
      </c>
      <c r="E43" s="96">
        <f>'3.Other Exp &amp; Taxes'!F86</f>
        <v>76720</v>
      </c>
      <c r="F43" s="96">
        <f>'3.Other Exp &amp; Taxes'!G86</f>
        <v>76720</v>
      </c>
      <c r="G43" s="96">
        <f>'3.Other Exp &amp; Taxes'!H86</f>
        <v>0</v>
      </c>
      <c r="H43" s="96">
        <f>'3.Other Exp &amp; Taxes'!I86</f>
        <v>0</v>
      </c>
    </row>
    <row r="44" spans="1:10">
      <c r="A44" s="95"/>
      <c r="B44" s="96"/>
      <c r="C44" s="96"/>
      <c r="D44" s="96"/>
      <c r="E44" s="96"/>
      <c r="F44" s="96"/>
      <c r="G44" s="96"/>
      <c r="H44" s="96"/>
    </row>
    <row r="45" spans="1:10">
      <c r="A45" s="97" t="s">
        <v>103</v>
      </c>
      <c r="B45" s="115">
        <f>B40-B42-B43</f>
        <v>5020655.7788999984</v>
      </c>
      <c r="C45" s="115">
        <f t="shared" ref="C45:H45" si="7">C40-C42-C43</f>
        <v>6285847.9936562497</v>
      </c>
      <c r="D45" s="115">
        <f t="shared" si="7"/>
        <v>7917447.6422071233</v>
      </c>
      <c r="E45" s="115">
        <f t="shared" si="7"/>
        <v>9398691.8691522647</v>
      </c>
      <c r="F45" s="115">
        <f t="shared" si="7"/>
        <v>10701551.145515114</v>
      </c>
      <c r="G45" s="115">
        <f t="shared" si="7"/>
        <v>11838239.238889469</v>
      </c>
      <c r="H45" s="115">
        <f t="shared" si="7"/>
        <v>12528005.284256939</v>
      </c>
    </row>
    <row r="46" spans="1:10">
      <c r="A46" s="95"/>
      <c r="B46" s="96"/>
      <c r="C46" s="96"/>
      <c r="D46" s="96"/>
      <c r="E46" s="96"/>
      <c r="F46" s="96"/>
      <c r="G46" s="96"/>
      <c r="H46" s="96"/>
    </row>
    <row r="47" spans="1:10">
      <c r="A47" s="95" t="s">
        <v>24</v>
      </c>
      <c r="B47" s="96">
        <f>+'8.Cash Flow '!C27</f>
        <v>1691929.5100148537</v>
      </c>
      <c r="C47" s="96">
        <f>+'8.Cash Flow '!D27</f>
        <v>1140575.2734698458</v>
      </c>
      <c r="D47" s="96">
        <f>+'8.Cash Flow '!E27</f>
        <v>422351.4175776082</v>
      </c>
      <c r="E47" s="96">
        <f>+'8.Cash Flow '!F27</f>
        <v>0</v>
      </c>
      <c r="F47" s="96">
        <f>+'8.Cash Flow '!G27</f>
        <v>0</v>
      </c>
      <c r="G47" s="96">
        <f>+'8.Cash Flow '!H27</f>
        <v>0</v>
      </c>
      <c r="H47" s="96">
        <f>+'8.Cash Flow '!I27</f>
        <v>0</v>
      </c>
    </row>
    <row r="48" spans="1:10">
      <c r="A48" s="95"/>
      <c r="B48" s="96"/>
      <c r="C48" s="96"/>
      <c r="D48" s="96"/>
      <c r="E48" s="96"/>
      <c r="F48" s="96"/>
      <c r="G48" s="96"/>
      <c r="H48" s="96"/>
    </row>
    <row r="49" spans="1:9">
      <c r="A49" s="95" t="s">
        <v>25</v>
      </c>
      <c r="B49" s="96">
        <f>B45-B47</f>
        <v>3328726.268885145</v>
      </c>
      <c r="C49" s="96">
        <f t="shared" ref="C49:H49" si="8">C45-C47</f>
        <v>5145272.720186404</v>
      </c>
      <c r="D49" s="96">
        <f t="shared" si="8"/>
        <v>7495096.2246295149</v>
      </c>
      <c r="E49" s="96">
        <f t="shared" si="8"/>
        <v>9398691.8691522647</v>
      </c>
      <c r="F49" s="96">
        <f t="shared" si="8"/>
        <v>10701551.145515114</v>
      </c>
      <c r="G49" s="96">
        <f t="shared" si="8"/>
        <v>11838239.238889469</v>
      </c>
      <c r="H49" s="96">
        <f t="shared" si="8"/>
        <v>12528005.284256939</v>
      </c>
    </row>
    <row r="50" spans="1:9">
      <c r="A50" s="95" t="s">
        <v>26</v>
      </c>
      <c r="B50" s="96">
        <f>'3.Other Exp &amp; Taxes'!B99</f>
        <v>865468.82991013746</v>
      </c>
      <c r="C50" s="96">
        <f>'3.Other Exp &amp; Taxes'!C99</f>
        <v>1337770.9072484649</v>
      </c>
      <c r="D50" s="96">
        <f>'3.Other Exp &amp; Taxes'!D99</f>
        <v>1948725.0184036738</v>
      </c>
      <c r="E50" s="96">
        <f>'3.Other Exp &amp; Taxes'!E99</f>
        <v>2443659.8859795891</v>
      </c>
      <c r="F50" s="96">
        <f>'3.Other Exp &amp; Taxes'!F99</f>
        <v>2782403.2978339298</v>
      </c>
      <c r="G50" s="96">
        <f>'3.Other Exp &amp; Taxes'!G99</f>
        <v>3077942.2021112619</v>
      </c>
      <c r="H50" s="96">
        <f>'3.Other Exp &amp; Taxes'!H99</f>
        <v>3257281.3739068042</v>
      </c>
    </row>
    <row r="51" spans="1:9">
      <c r="A51" s="97" t="s">
        <v>28</v>
      </c>
      <c r="B51" s="96">
        <f>B49-B50</f>
        <v>2463257.4389750073</v>
      </c>
      <c r="C51" s="96">
        <f>C49-C50</f>
        <v>3807501.8129379391</v>
      </c>
      <c r="D51" s="96">
        <f>D49-D50</f>
        <v>5546371.2062258413</v>
      </c>
      <c r="E51" s="96">
        <f>E49-E50</f>
        <v>6955031.9831726756</v>
      </c>
      <c r="F51" s="96">
        <f>F49-F50</f>
        <v>7919147.8476811843</v>
      </c>
      <c r="G51" s="96">
        <f t="shared" ref="G51:H51" si="9">G49-G50</f>
        <v>8760297.0367782079</v>
      </c>
      <c r="H51" s="96">
        <f t="shared" si="9"/>
        <v>9270723.9103501346</v>
      </c>
    </row>
    <row r="52" spans="1:9">
      <c r="A52" s="94"/>
      <c r="B52" s="112"/>
      <c r="C52" s="112"/>
      <c r="D52" s="112"/>
      <c r="E52" s="112"/>
      <c r="F52" s="112"/>
      <c r="G52" s="112"/>
      <c r="H52" s="112"/>
    </row>
    <row r="53" spans="1:9">
      <c r="A53" s="94" t="s">
        <v>472</v>
      </c>
      <c r="B53" s="112">
        <f>B51</f>
        <v>2463257.4389750073</v>
      </c>
      <c r="C53" s="112">
        <f t="shared" ref="C53:H53" si="10">B53+C51</f>
        <v>6270759.2519129459</v>
      </c>
      <c r="D53" s="112">
        <f t="shared" si="10"/>
        <v>11817130.458138786</v>
      </c>
      <c r="E53" s="112">
        <f t="shared" si="10"/>
        <v>18772162.441311464</v>
      </c>
      <c r="F53" s="112">
        <f t="shared" si="10"/>
        <v>26691310.288992647</v>
      </c>
      <c r="G53" s="112">
        <f t="shared" si="10"/>
        <v>35451607.325770855</v>
      </c>
      <c r="H53" s="112">
        <f t="shared" si="10"/>
        <v>44722331.236120991</v>
      </c>
    </row>
    <row r="56" spans="1:9" ht="32.450000000000003" customHeight="1">
      <c r="A56" s="453" t="s">
        <v>370</v>
      </c>
      <c r="B56" s="453"/>
      <c r="C56" s="453"/>
      <c r="D56" s="453"/>
      <c r="E56" s="453"/>
      <c r="F56" s="453"/>
      <c r="G56" s="453"/>
      <c r="H56" s="453"/>
      <c r="I56" s="453"/>
    </row>
    <row r="58" spans="1:9">
      <c r="A58" s="290"/>
    </row>
  </sheetData>
  <mergeCells count="2">
    <mergeCell ref="A2:H2"/>
    <mergeCell ref="A56:I56"/>
  </mergeCells>
  <pageMargins left="0.7" right="0.7" top="0.75" bottom="0.75" header="0.3" footer="0.3"/>
  <pageSetup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0"/>
  <sheetViews>
    <sheetView view="pageBreakPreview" zoomScale="80" zoomScaleNormal="100" zoomScaleSheetLayoutView="80" workbookViewId="0">
      <selection activeCell="A2" sqref="A2:H48"/>
    </sheetView>
  </sheetViews>
  <sheetFormatPr defaultRowHeight="15"/>
  <cols>
    <col min="1" max="1" width="37.28515625" style="53" customWidth="1"/>
    <col min="2" max="8" width="13.42578125" style="53" bestFit="1" customWidth="1"/>
    <col min="9" max="9" width="9.140625" style="53"/>
    <col min="10" max="10" width="32.85546875" style="53" bestFit="1" customWidth="1"/>
    <col min="11" max="16" width="8.7109375" style="53" bestFit="1"/>
    <col min="17" max="17" width="10.140625" style="53" bestFit="1" customWidth="1"/>
    <col min="18" max="256" width="9.140625" style="53"/>
    <col min="257" max="257" width="37.28515625" style="53" customWidth="1"/>
    <col min="258" max="258" width="18.42578125" style="53" bestFit="1" customWidth="1"/>
    <col min="259" max="262" width="12.42578125" style="53" bestFit="1" customWidth="1"/>
    <col min="263" max="263" width="11.7109375" style="53" bestFit="1" customWidth="1"/>
    <col min="264" max="512" width="9.140625" style="53"/>
    <col min="513" max="513" width="37.28515625" style="53" customWidth="1"/>
    <col min="514" max="514" width="18.42578125" style="53" bestFit="1" customWidth="1"/>
    <col min="515" max="518" width="12.42578125" style="53" bestFit="1" customWidth="1"/>
    <col min="519" max="519" width="11.7109375" style="53" bestFit="1" customWidth="1"/>
    <col min="520" max="768" width="9.140625" style="53"/>
    <col min="769" max="769" width="37.28515625" style="53" customWidth="1"/>
    <col min="770" max="770" width="18.42578125" style="53" bestFit="1" customWidth="1"/>
    <col min="771" max="774" width="12.42578125" style="53" bestFit="1" customWidth="1"/>
    <col min="775" max="775" width="11.7109375" style="53" bestFit="1" customWidth="1"/>
    <col min="776" max="1024" width="9.140625" style="53"/>
    <col min="1025" max="1025" width="37.28515625" style="53" customWidth="1"/>
    <col min="1026" max="1026" width="18.42578125" style="53" bestFit="1" customWidth="1"/>
    <col min="1027" max="1030" width="12.42578125" style="53" bestFit="1" customWidth="1"/>
    <col min="1031" max="1031" width="11.7109375" style="53" bestFit="1" customWidth="1"/>
    <col min="1032" max="1280" width="9.140625" style="53"/>
    <col min="1281" max="1281" width="37.28515625" style="53" customWidth="1"/>
    <col min="1282" max="1282" width="18.42578125" style="53" bestFit="1" customWidth="1"/>
    <col min="1283" max="1286" width="12.42578125" style="53" bestFit="1" customWidth="1"/>
    <col min="1287" max="1287" width="11.7109375" style="53" bestFit="1" customWidth="1"/>
    <col min="1288" max="1536" width="9.140625" style="53"/>
    <col min="1537" max="1537" width="37.28515625" style="53" customWidth="1"/>
    <col min="1538" max="1538" width="18.42578125" style="53" bestFit="1" customWidth="1"/>
    <col min="1539" max="1542" width="12.42578125" style="53" bestFit="1" customWidth="1"/>
    <col min="1543" max="1543" width="11.7109375" style="53" bestFit="1" customWidth="1"/>
    <col min="1544" max="1792" width="9.140625" style="53"/>
    <col min="1793" max="1793" width="37.28515625" style="53" customWidth="1"/>
    <col min="1794" max="1794" width="18.42578125" style="53" bestFit="1" customWidth="1"/>
    <col min="1795" max="1798" width="12.42578125" style="53" bestFit="1" customWidth="1"/>
    <col min="1799" max="1799" width="11.7109375" style="53" bestFit="1" customWidth="1"/>
    <col min="1800" max="2048" width="9.140625" style="53"/>
    <col min="2049" max="2049" width="37.28515625" style="53" customWidth="1"/>
    <col min="2050" max="2050" width="18.42578125" style="53" bestFit="1" customWidth="1"/>
    <col min="2051" max="2054" width="12.42578125" style="53" bestFit="1" customWidth="1"/>
    <col min="2055" max="2055" width="11.7109375" style="53" bestFit="1" customWidth="1"/>
    <col min="2056" max="2304" width="9.140625" style="53"/>
    <col min="2305" max="2305" width="37.28515625" style="53" customWidth="1"/>
    <col min="2306" max="2306" width="18.42578125" style="53" bestFit="1" customWidth="1"/>
    <col min="2307" max="2310" width="12.42578125" style="53" bestFit="1" customWidth="1"/>
    <col min="2311" max="2311" width="11.7109375" style="53" bestFit="1" customWidth="1"/>
    <col min="2312" max="2560" width="9.140625" style="53"/>
    <col min="2561" max="2561" width="37.28515625" style="53" customWidth="1"/>
    <col min="2562" max="2562" width="18.42578125" style="53" bestFit="1" customWidth="1"/>
    <col min="2563" max="2566" width="12.42578125" style="53" bestFit="1" customWidth="1"/>
    <col min="2567" max="2567" width="11.7109375" style="53" bestFit="1" customWidth="1"/>
    <col min="2568" max="2816" width="9.140625" style="53"/>
    <col min="2817" max="2817" width="37.28515625" style="53" customWidth="1"/>
    <col min="2818" max="2818" width="18.42578125" style="53" bestFit="1" customWidth="1"/>
    <col min="2819" max="2822" width="12.42578125" style="53" bestFit="1" customWidth="1"/>
    <col min="2823" max="2823" width="11.7109375" style="53" bestFit="1" customWidth="1"/>
    <col min="2824" max="3072" width="9.140625" style="53"/>
    <col min="3073" max="3073" width="37.28515625" style="53" customWidth="1"/>
    <col min="3074" max="3074" width="18.42578125" style="53" bestFit="1" customWidth="1"/>
    <col min="3075" max="3078" width="12.42578125" style="53" bestFit="1" customWidth="1"/>
    <col min="3079" max="3079" width="11.7109375" style="53" bestFit="1" customWidth="1"/>
    <col min="3080" max="3328" width="9.140625" style="53"/>
    <col min="3329" max="3329" width="37.28515625" style="53" customWidth="1"/>
    <col min="3330" max="3330" width="18.42578125" style="53" bestFit="1" customWidth="1"/>
    <col min="3331" max="3334" width="12.42578125" style="53" bestFit="1" customWidth="1"/>
    <col min="3335" max="3335" width="11.7109375" style="53" bestFit="1" customWidth="1"/>
    <col min="3336" max="3584" width="9.140625" style="53"/>
    <col min="3585" max="3585" width="37.28515625" style="53" customWidth="1"/>
    <col min="3586" max="3586" width="18.42578125" style="53" bestFit="1" customWidth="1"/>
    <col min="3587" max="3590" width="12.42578125" style="53" bestFit="1" customWidth="1"/>
    <col min="3591" max="3591" width="11.7109375" style="53" bestFit="1" customWidth="1"/>
    <col min="3592" max="3840" width="9.140625" style="53"/>
    <col min="3841" max="3841" width="37.28515625" style="53" customWidth="1"/>
    <col min="3842" max="3842" width="18.42578125" style="53" bestFit="1" customWidth="1"/>
    <col min="3843" max="3846" width="12.42578125" style="53" bestFit="1" customWidth="1"/>
    <col min="3847" max="3847" width="11.7109375" style="53" bestFit="1" customWidth="1"/>
    <col min="3848" max="4096" width="9.140625" style="53"/>
    <col min="4097" max="4097" width="37.28515625" style="53" customWidth="1"/>
    <col min="4098" max="4098" width="18.42578125" style="53" bestFit="1" customWidth="1"/>
    <col min="4099" max="4102" width="12.42578125" style="53" bestFit="1" customWidth="1"/>
    <col min="4103" max="4103" width="11.7109375" style="53" bestFit="1" customWidth="1"/>
    <col min="4104" max="4352" width="9.140625" style="53"/>
    <col min="4353" max="4353" width="37.28515625" style="53" customWidth="1"/>
    <col min="4354" max="4354" width="18.42578125" style="53" bestFit="1" customWidth="1"/>
    <col min="4355" max="4358" width="12.42578125" style="53" bestFit="1" customWidth="1"/>
    <col min="4359" max="4359" width="11.7109375" style="53" bestFit="1" customWidth="1"/>
    <col min="4360" max="4608" width="9.140625" style="53"/>
    <col min="4609" max="4609" width="37.28515625" style="53" customWidth="1"/>
    <col min="4610" max="4610" width="18.42578125" style="53" bestFit="1" customWidth="1"/>
    <col min="4611" max="4614" width="12.42578125" style="53" bestFit="1" customWidth="1"/>
    <col min="4615" max="4615" width="11.7109375" style="53" bestFit="1" customWidth="1"/>
    <col min="4616" max="4864" width="9.140625" style="53"/>
    <col min="4865" max="4865" width="37.28515625" style="53" customWidth="1"/>
    <col min="4866" max="4866" width="18.42578125" style="53" bestFit="1" customWidth="1"/>
    <col min="4867" max="4870" width="12.42578125" style="53" bestFit="1" customWidth="1"/>
    <col min="4871" max="4871" width="11.7109375" style="53" bestFit="1" customWidth="1"/>
    <col min="4872" max="5120" width="9.140625" style="53"/>
    <col min="5121" max="5121" width="37.28515625" style="53" customWidth="1"/>
    <col min="5122" max="5122" width="18.42578125" style="53" bestFit="1" customWidth="1"/>
    <col min="5123" max="5126" width="12.42578125" style="53" bestFit="1" customWidth="1"/>
    <col min="5127" max="5127" width="11.7109375" style="53" bestFit="1" customWidth="1"/>
    <col min="5128" max="5376" width="9.140625" style="53"/>
    <col min="5377" max="5377" width="37.28515625" style="53" customWidth="1"/>
    <col min="5378" max="5378" width="18.42578125" style="53" bestFit="1" customWidth="1"/>
    <col min="5379" max="5382" width="12.42578125" style="53" bestFit="1" customWidth="1"/>
    <col min="5383" max="5383" width="11.7109375" style="53" bestFit="1" customWidth="1"/>
    <col min="5384" max="5632" width="9.140625" style="53"/>
    <col min="5633" max="5633" width="37.28515625" style="53" customWidth="1"/>
    <col min="5634" max="5634" width="18.42578125" style="53" bestFit="1" customWidth="1"/>
    <col min="5635" max="5638" width="12.42578125" style="53" bestFit="1" customWidth="1"/>
    <col min="5639" max="5639" width="11.7109375" style="53" bestFit="1" customWidth="1"/>
    <col min="5640" max="5888" width="9.140625" style="53"/>
    <col min="5889" max="5889" width="37.28515625" style="53" customWidth="1"/>
    <col min="5890" max="5890" width="18.42578125" style="53" bestFit="1" customWidth="1"/>
    <col min="5891" max="5894" width="12.42578125" style="53" bestFit="1" customWidth="1"/>
    <col min="5895" max="5895" width="11.7109375" style="53" bestFit="1" customWidth="1"/>
    <col min="5896" max="6144" width="9.140625" style="53"/>
    <col min="6145" max="6145" width="37.28515625" style="53" customWidth="1"/>
    <col min="6146" max="6146" width="18.42578125" style="53" bestFit="1" customWidth="1"/>
    <col min="6147" max="6150" width="12.42578125" style="53" bestFit="1" customWidth="1"/>
    <col min="6151" max="6151" width="11.7109375" style="53" bestFit="1" customWidth="1"/>
    <col min="6152" max="6400" width="9.140625" style="53"/>
    <col min="6401" max="6401" width="37.28515625" style="53" customWidth="1"/>
    <col min="6402" max="6402" width="18.42578125" style="53" bestFit="1" customWidth="1"/>
    <col min="6403" max="6406" width="12.42578125" style="53" bestFit="1" customWidth="1"/>
    <col min="6407" max="6407" width="11.7109375" style="53" bestFit="1" customWidth="1"/>
    <col min="6408" max="6656" width="9.140625" style="53"/>
    <col min="6657" max="6657" width="37.28515625" style="53" customWidth="1"/>
    <col min="6658" max="6658" width="18.42578125" style="53" bestFit="1" customWidth="1"/>
    <col min="6659" max="6662" width="12.42578125" style="53" bestFit="1" customWidth="1"/>
    <col min="6663" max="6663" width="11.7109375" style="53" bestFit="1" customWidth="1"/>
    <col min="6664" max="6912" width="9.140625" style="53"/>
    <col min="6913" max="6913" width="37.28515625" style="53" customWidth="1"/>
    <col min="6914" max="6914" width="18.42578125" style="53" bestFit="1" customWidth="1"/>
    <col min="6915" max="6918" width="12.42578125" style="53" bestFit="1" customWidth="1"/>
    <col min="6919" max="6919" width="11.7109375" style="53" bestFit="1" customWidth="1"/>
    <col min="6920" max="7168" width="9.140625" style="53"/>
    <col min="7169" max="7169" width="37.28515625" style="53" customWidth="1"/>
    <col min="7170" max="7170" width="18.42578125" style="53" bestFit="1" customWidth="1"/>
    <col min="7171" max="7174" width="12.42578125" style="53" bestFit="1" customWidth="1"/>
    <col min="7175" max="7175" width="11.7109375" style="53" bestFit="1" customWidth="1"/>
    <col min="7176" max="7424" width="9.140625" style="53"/>
    <col min="7425" max="7425" width="37.28515625" style="53" customWidth="1"/>
    <col min="7426" max="7426" width="18.42578125" style="53" bestFit="1" customWidth="1"/>
    <col min="7427" max="7430" width="12.42578125" style="53" bestFit="1" customWidth="1"/>
    <col min="7431" max="7431" width="11.7109375" style="53" bestFit="1" customWidth="1"/>
    <col min="7432" max="7680" width="9.140625" style="53"/>
    <col min="7681" max="7681" width="37.28515625" style="53" customWidth="1"/>
    <col min="7682" max="7682" width="18.42578125" style="53" bestFit="1" customWidth="1"/>
    <col min="7683" max="7686" width="12.42578125" style="53" bestFit="1" customWidth="1"/>
    <col min="7687" max="7687" width="11.7109375" style="53" bestFit="1" customWidth="1"/>
    <col min="7688" max="7936" width="9.140625" style="53"/>
    <col min="7937" max="7937" width="37.28515625" style="53" customWidth="1"/>
    <col min="7938" max="7938" width="18.42578125" style="53" bestFit="1" customWidth="1"/>
    <col min="7939" max="7942" width="12.42578125" style="53" bestFit="1" customWidth="1"/>
    <col min="7943" max="7943" width="11.7109375" style="53" bestFit="1" customWidth="1"/>
    <col min="7944" max="8192" width="9.140625" style="53"/>
    <col min="8193" max="8193" width="37.28515625" style="53" customWidth="1"/>
    <col min="8194" max="8194" width="18.42578125" style="53" bestFit="1" customWidth="1"/>
    <col min="8195" max="8198" width="12.42578125" style="53" bestFit="1" customWidth="1"/>
    <col min="8199" max="8199" width="11.7109375" style="53" bestFit="1" customWidth="1"/>
    <col min="8200" max="8448" width="9.140625" style="53"/>
    <col min="8449" max="8449" width="37.28515625" style="53" customWidth="1"/>
    <col min="8450" max="8450" width="18.42578125" style="53" bestFit="1" customWidth="1"/>
    <col min="8451" max="8454" width="12.42578125" style="53" bestFit="1" customWidth="1"/>
    <col min="8455" max="8455" width="11.7109375" style="53" bestFit="1" customWidth="1"/>
    <col min="8456" max="8704" width="9.140625" style="53"/>
    <col min="8705" max="8705" width="37.28515625" style="53" customWidth="1"/>
    <col min="8706" max="8706" width="18.42578125" style="53" bestFit="1" customWidth="1"/>
    <col min="8707" max="8710" width="12.42578125" style="53" bestFit="1" customWidth="1"/>
    <col min="8711" max="8711" width="11.7109375" style="53" bestFit="1" customWidth="1"/>
    <col min="8712" max="8960" width="9.140625" style="53"/>
    <col min="8961" max="8961" width="37.28515625" style="53" customWidth="1"/>
    <col min="8962" max="8962" width="18.42578125" style="53" bestFit="1" customWidth="1"/>
    <col min="8963" max="8966" width="12.42578125" style="53" bestFit="1" customWidth="1"/>
    <col min="8967" max="8967" width="11.7109375" style="53" bestFit="1" customWidth="1"/>
    <col min="8968" max="9216" width="9.140625" style="53"/>
    <col min="9217" max="9217" width="37.28515625" style="53" customWidth="1"/>
    <col min="9218" max="9218" width="18.42578125" style="53" bestFit="1" customWidth="1"/>
    <col min="9219" max="9222" width="12.42578125" style="53" bestFit="1" customWidth="1"/>
    <col min="9223" max="9223" width="11.7109375" style="53" bestFit="1" customWidth="1"/>
    <col min="9224" max="9472" width="9.140625" style="53"/>
    <col min="9473" max="9473" width="37.28515625" style="53" customWidth="1"/>
    <col min="9474" max="9474" width="18.42578125" style="53" bestFit="1" customWidth="1"/>
    <col min="9475" max="9478" width="12.42578125" style="53" bestFit="1" customWidth="1"/>
    <col min="9479" max="9479" width="11.7109375" style="53" bestFit="1" customWidth="1"/>
    <col min="9480" max="9728" width="9.140625" style="53"/>
    <col min="9729" max="9729" width="37.28515625" style="53" customWidth="1"/>
    <col min="9730" max="9730" width="18.42578125" style="53" bestFit="1" customWidth="1"/>
    <col min="9731" max="9734" width="12.42578125" style="53" bestFit="1" customWidth="1"/>
    <col min="9735" max="9735" width="11.7109375" style="53" bestFit="1" customWidth="1"/>
    <col min="9736" max="9984" width="9.140625" style="53"/>
    <col min="9985" max="9985" width="37.28515625" style="53" customWidth="1"/>
    <col min="9986" max="9986" width="18.42578125" style="53" bestFit="1" customWidth="1"/>
    <col min="9987" max="9990" width="12.42578125" style="53" bestFit="1" customWidth="1"/>
    <col min="9991" max="9991" width="11.7109375" style="53" bestFit="1" customWidth="1"/>
    <col min="9992" max="10240" width="9.140625" style="53"/>
    <col min="10241" max="10241" width="37.28515625" style="53" customWidth="1"/>
    <col min="10242" max="10242" width="18.42578125" style="53" bestFit="1" customWidth="1"/>
    <col min="10243" max="10246" width="12.42578125" style="53" bestFit="1" customWidth="1"/>
    <col min="10247" max="10247" width="11.7109375" style="53" bestFit="1" customWidth="1"/>
    <col min="10248" max="10496" width="9.140625" style="53"/>
    <col min="10497" max="10497" width="37.28515625" style="53" customWidth="1"/>
    <col min="10498" max="10498" width="18.42578125" style="53" bestFit="1" customWidth="1"/>
    <col min="10499" max="10502" width="12.42578125" style="53" bestFit="1" customWidth="1"/>
    <col min="10503" max="10503" width="11.7109375" style="53" bestFit="1" customWidth="1"/>
    <col min="10504" max="10752" width="9.140625" style="53"/>
    <col min="10753" max="10753" width="37.28515625" style="53" customWidth="1"/>
    <col min="10754" max="10754" width="18.42578125" style="53" bestFit="1" customWidth="1"/>
    <col min="10755" max="10758" width="12.42578125" style="53" bestFit="1" customWidth="1"/>
    <col min="10759" max="10759" width="11.7109375" style="53" bestFit="1" customWidth="1"/>
    <col min="10760" max="11008" width="9.140625" style="53"/>
    <col min="11009" max="11009" width="37.28515625" style="53" customWidth="1"/>
    <col min="11010" max="11010" width="18.42578125" style="53" bestFit="1" customWidth="1"/>
    <col min="11011" max="11014" width="12.42578125" style="53" bestFit="1" customWidth="1"/>
    <col min="11015" max="11015" width="11.7109375" style="53" bestFit="1" customWidth="1"/>
    <col min="11016" max="11264" width="9.140625" style="53"/>
    <col min="11265" max="11265" width="37.28515625" style="53" customWidth="1"/>
    <col min="11266" max="11266" width="18.42578125" style="53" bestFit="1" customWidth="1"/>
    <col min="11267" max="11270" width="12.42578125" style="53" bestFit="1" customWidth="1"/>
    <col min="11271" max="11271" width="11.7109375" style="53" bestFit="1" customWidth="1"/>
    <col min="11272" max="11520" width="9.140625" style="53"/>
    <col min="11521" max="11521" width="37.28515625" style="53" customWidth="1"/>
    <col min="11522" max="11522" width="18.42578125" style="53" bestFit="1" customWidth="1"/>
    <col min="11523" max="11526" width="12.42578125" style="53" bestFit="1" customWidth="1"/>
    <col min="11527" max="11527" width="11.7109375" style="53" bestFit="1" customWidth="1"/>
    <col min="11528" max="11776" width="9.140625" style="53"/>
    <col min="11777" max="11777" width="37.28515625" style="53" customWidth="1"/>
    <col min="11778" max="11778" width="18.42578125" style="53" bestFit="1" customWidth="1"/>
    <col min="11779" max="11782" width="12.42578125" style="53" bestFit="1" customWidth="1"/>
    <col min="11783" max="11783" width="11.7109375" style="53" bestFit="1" customWidth="1"/>
    <col min="11784" max="12032" width="9.140625" style="53"/>
    <col min="12033" max="12033" width="37.28515625" style="53" customWidth="1"/>
    <col min="12034" max="12034" width="18.42578125" style="53" bestFit="1" customWidth="1"/>
    <col min="12035" max="12038" width="12.42578125" style="53" bestFit="1" customWidth="1"/>
    <col min="12039" max="12039" width="11.7109375" style="53" bestFit="1" customWidth="1"/>
    <col min="12040" max="12288" width="9.140625" style="53"/>
    <col min="12289" max="12289" width="37.28515625" style="53" customWidth="1"/>
    <col min="12290" max="12290" width="18.42578125" style="53" bestFit="1" customWidth="1"/>
    <col min="12291" max="12294" width="12.42578125" style="53" bestFit="1" customWidth="1"/>
    <col min="12295" max="12295" width="11.7109375" style="53" bestFit="1" customWidth="1"/>
    <col min="12296" max="12544" width="9.140625" style="53"/>
    <col min="12545" max="12545" width="37.28515625" style="53" customWidth="1"/>
    <col min="12546" max="12546" width="18.42578125" style="53" bestFit="1" customWidth="1"/>
    <col min="12547" max="12550" width="12.42578125" style="53" bestFit="1" customWidth="1"/>
    <col min="12551" max="12551" width="11.7109375" style="53" bestFit="1" customWidth="1"/>
    <col min="12552" max="12800" width="9.140625" style="53"/>
    <col min="12801" max="12801" width="37.28515625" style="53" customWidth="1"/>
    <col min="12802" max="12802" width="18.42578125" style="53" bestFit="1" customWidth="1"/>
    <col min="12803" max="12806" width="12.42578125" style="53" bestFit="1" customWidth="1"/>
    <col min="12807" max="12807" width="11.7109375" style="53" bestFit="1" customWidth="1"/>
    <col min="12808" max="13056" width="9.140625" style="53"/>
    <col min="13057" max="13057" width="37.28515625" style="53" customWidth="1"/>
    <col min="13058" max="13058" width="18.42578125" style="53" bestFit="1" customWidth="1"/>
    <col min="13059" max="13062" width="12.42578125" style="53" bestFit="1" customWidth="1"/>
    <col min="13063" max="13063" width="11.7109375" style="53" bestFit="1" customWidth="1"/>
    <col min="13064" max="13312" width="9.140625" style="53"/>
    <col min="13313" max="13313" width="37.28515625" style="53" customWidth="1"/>
    <col min="13314" max="13314" width="18.42578125" style="53" bestFit="1" customWidth="1"/>
    <col min="13315" max="13318" width="12.42578125" style="53" bestFit="1" customWidth="1"/>
    <col min="13319" max="13319" width="11.7109375" style="53" bestFit="1" customWidth="1"/>
    <col min="13320" max="13568" width="9.140625" style="53"/>
    <col min="13569" max="13569" width="37.28515625" style="53" customWidth="1"/>
    <col min="13570" max="13570" width="18.42578125" style="53" bestFit="1" customWidth="1"/>
    <col min="13571" max="13574" width="12.42578125" style="53" bestFit="1" customWidth="1"/>
    <col min="13575" max="13575" width="11.7109375" style="53" bestFit="1" customWidth="1"/>
    <col min="13576" max="13824" width="9.140625" style="53"/>
    <col min="13825" max="13825" width="37.28515625" style="53" customWidth="1"/>
    <col min="13826" max="13826" width="18.42578125" style="53" bestFit="1" customWidth="1"/>
    <col min="13827" max="13830" width="12.42578125" style="53" bestFit="1" customWidth="1"/>
    <col min="13831" max="13831" width="11.7109375" style="53" bestFit="1" customWidth="1"/>
    <col min="13832" max="14080" width="9.140625" style="53"/>
    <col min="14081" max="14081" width="37.28515625" style="53" customWidth="1"/>
    <col min="14082" max="14082" width="18.42578125" style="53" bestFit="1" customWidth="1"/>
    <col min="14083" max="14086" width="12.42578125" style="53" bestFit="1" customWidth="1"/>
    <col min="14087" max="14087" width="11.7109375" style="53" bestFit="1" customWidth="1"/>
    <col min="14088" max="14336" width="9.140625" style="53"/>
    <col min="14337" max="14337" width="37.28515625" style="53" customWidth="1"/>
    <col min="14338" max="14338" width="18.42578125" style="53" bestFit="1" customWidth="1"/>
    <col min="14339" max="14342" width="12.42578125" style="53" bestFit="1" customWidth="1"/>
    <col min="14343" max="14343" width="11.7109375" style="53" bestFit="1" customWidth="1"/>
    <col min="14344" max="14592" width="9.140625" style="53"/>
    <col min="14593" max="14593" width="37.28515625" style="53" customWidth="1"/>
    <col min="14594" max="14594" width="18.42578125" style="53" bestFit="1" customWidth="1"/>
    <col min="14595" max="14598" width="12.42578125" style="53" bestFit="1" customWidth="1"/>
    <col min="14599" max="14599" width="11.7109375" style="53" bestFit="1" customWidth="1"/>
    <col min="14600" max="14848" width="9.140625" style="53"/>
    <col min="14849" max="14849" width="37.28515625" style="53" customWidth="1"/>
    <col min="14850" max="14850" width="18.42578125" style="53" bestFit="1" customWidth="1"/>
    <col min="14851" max="14854" width="12.42578125" style="53" bestFit="1" customWidth="1"/>
    <col min="14855" max="14855" width="11.7109375" style="53" bestFit="1" customWidth="1"/>
    <col min="14856" max="15104" width="9.140625" style="53"/>
    <col min="15105" max="15105" width="37.28515625" style="53" customWidth="1"/>
    <col min="15106" max="15106" width="18.42578125" style="53" bestFit="1" customWidth="1"/>
    <col min="15107" max="15110" width="12.42578125" style="53" bestFit="1" customWidth="1"/>
    <col min="15111" max="15111" width="11.7109375" style="53" bestFit="1" customWidth="1"/>
    <col min="15112" max="15360" width="9.140625" style="53"/>
    <col min="15361" max="15361" width="37.28515625" style="53" customWidth="1"/>
    <col min="15362" max="15362" width="18.42578125" style="53" bestFit="1" customWidth="1"/>
    <col min="15363" max="15366" width="12.42578125" style="53" bestFit="1" customWidth="1"/>
    <col min="15367" max="15367" width="11.7109375" style="53" bestFit="1" customWidth="1"/>
    <col min="15368" max="15616" width="9.140625" style="53"/>
    <col min="15617" max="15617" width="37.28515625" style="53" customWidth="1"/>
    <col min="15618" max="15618" width="18.42578125" style="53" bestFit="1" customWidth="1"/>
    <col min="15619" max="15622" width="12.42578125" style="53" bestFit="1" customWidth="1"/>
    <col min="15623" max="15623" width="11.7109375" style="53" bestFit="1" customWidth="1"/>
    <col min="15624" max="15872" width="9.140625" style="53"/>
    <col min="15873" max="15873" width="37.28515625" style="53" customWidth="1"/>
    <col min="15874" max="15874" width="18.42578125" style="53" bestFit="1" customWidth="1"/>
    <col min="15875" max="15878" width="12.42578125" style="53" bestFit="1" customWidth="1"/>
    <col min="15879" max="15879" width="11.7109375" style="53" bestFit="1" customWidth="1"/>
    <col min="15880" max="16128" width="9.140625" style="53"/>
    <col min="16129" max="16129" width="37.28515625" style="53" customWidth="1"/>
    <col min="16130" max="16130" width="18.42578125" style="53" bestFit="1" customWidth="1"/>
    <col min="16131" max="16134" width="12.42578125" style="53" bestFit="1" customWidth="1"/>
    <col min="16135" max="16135" width="11.7109375" style="53" bestFit="1" customWidth="1"/>
    <col min="16136" max="16384" width="9.140625" style="53"/>
  </cols>
  <sheetData>
    <row r="1" spans="1:18">
      <c r="A1" s="437"/>
      <c r="B1" s="437"/>
      <c r="C1" s="437"/>
      <c r="D1" s="437"/>
      <c r="E1" s="437"/>
      <c r="F1" s="437"/>
    </row>
    <row r="2" spans="1:18" ht="18.75">
      <c r="A2" s="454" t="s">
        <v>520</v>
      </c>
      <c r="B2" s="423"/>
      <c r="C2" s="423"/>
      <c r="D2" s="423"/>
      <c r="E2" s="423"/>
      <c r="F2" s="423"/>
      <c r="G2" s="423"/>
      <c r="H2" s="423"/>
      <c r="I2" s="84"/>
    </row>
    <row r="3" spans="1:18">
      <c r="A3" s="85"/>
      <c r="B3" s="55"/>
      <c r="C3" s="55"/>
      <c r="D3" s="55"/>
      <c r="E3" s="55"/>
      <c r="F3" s="55"/>
    </row>
    <row r="4" spans="1:18">
      <c r="A4" s="118" t="s">
        <v>0</v>
      </c>
      <c r="B4" s="119" t="s">
        <v>2</v>
      </c>
      <c r="C4" s="119" t="s">
        <v>3</v>
      </c>
      <c r="D4" s="119" t="s">
        <v>4</v>
      </c>
      <c r="E4" s="119" t="s">
        <v>5</v>
      </c>
      <c r="F4" s="119" t="s">
        <v>6</v>
      </c>
      <c r="G4" s="120" t="s">
        <v>134</v>
      </c>
      <c r="H4" s="120" t="s">
        <v>133</v>
      </c>
    </row>
    <row r="5" spans="1:18" s="54" customFormat="1">
      <c r="A5" s="121"/>
      <c r="B5" s="122"/>
      <c r="C5" s="123"/>
      <c r="D5" s="123"/>
      <c r="E5" s="123"/>
      <c r="F5" s="123"/>
      <c r="G5" s="123"/>
      <c r="H5" s="123"/>
    </row>
    <row r="6" spans="1:18">
      <c r="A6" s="124" t="s">
        <v>49</v>
      </c>
      <c r="B6" s="125"/>
      <c r="C6" s="125"/>
      <c r="D6" s="125"/>
      <c r="E6" s="125"/>
      <c r="F6" s="125"/>
      <c r="G6" s="125"/>
      <c r="H6" s="125"/>
    </row>
    <row r="7" spans="1:18">
      <c r="A7" s="126" t="s">
        <v>50</v>
      </c>
      <c r="B7" s="127"/>
      <c r="C7" s="127"/>
      <c r="D7" s="127"/>
      <c r="E7" s="127"/>
      <c r="F7" s="127"/>
      <c r="G7" s="127"/>
      <c r="H7" s="127"/>
    </row>
    <row r="8" spans="1:18">
      <c r="A8" s="128" t="s">
        <v>204</v>
      </c>
      <c r="B8" s="129">
        <f>'8.Cash Flow '!C36</f>
        <v>6403059.8562654033</v>
      </c>
      <c r="C8" s="129">
        <f>'8.Cash Flow '!D36</f>
        <v>10098752.88637336</v>
      </c>
      <c r="D8" s="129">
        <f>'8.Cash Flow '!E36</f>
        <v>14045103.548048459</v>
      </c>
      <c r="E8" s="129">
        <f>'8.Cash Flow '!F36</f>
        <v>25116923.488720912</v>
      </c>
      <c r="F8" s="129">
        <f>'8.Cash Flow '!G36</f>
        <v>36578165.749557257</v>
      </c>
      <c r="G8" s="129">
        <f>'8.Cash Flow '!H36</f>
        <v>48304746.67977953</v>
      </c>
      <c r="H8" s="129">
        <f>'8.Cash Flow '!I36</f>
        <v>60105116.056010559</v>
      </c>
      <c r="K8" s="68"/>
      <c r="L8" s="68"/>
      <c r="M8" s="68"/>
      <c r="N8" s="68"/>
      <c r="O8" s="68"/>
      <c r="P8" s="68"/>
      <c r="Q8" s="68"/>
      <c r="R8" s="68"/>
    </row>
    <row r="9" spans="1:18">
      <c r="A9" s="130" t="s">
        <v>205</v>
      </c>
      <c r="B9" s="131">
        <f>+'5.Closing Stock &amp; W Capital'!E39</f>
        <v>891953.50290410954</v>
      </c>
      <c r="C9" s="131">
        <f>+'5.Closing Stock &amp; W Capital'!F39</f>
        <v>957836.4320958904</v>
      </c>
      <c r="D9" s="131">
        <f>+'5.Closing Stock &amp; W Capital'!G39</f>
        <v>1028077.770449589</v>
      </c>
      <c r="E9" s="131">
        <f>+'5.Closing Stock &amp; W Capital'!H39</f>
        <v>1102948.6515584183</v>
      </c>
      <c r="F9" s="131">
        <f>+'5.Closing Stock &amp; W Capital'!I39</f>
        <v>1182736.4263520059</v>
      </c>
      <c r="G9" s="131">
        <f>+'5.Closing Stock &amp; W Capital'!J39</f>
        <v>1267745.6069960566</v>
      </c>
      <c r="H9" s="131">
        <f>+'5.Closing Stock &amp; W Capital'!K39</f>
        <v>1358298.8646386317</v>
      </c>
      <c r="K9" s="68"/>
      <c r="L9" s="68"/>
      <c r="M9" s="68"/>
      <c r="N9" s="68"/>
      <c r="O9" s="68"/>
      <c r="P9" s="68"/>
      <c r="Q9" s="68"/>
      <c r="R9" s="68"/>
    </row>
    <row r="10" spans="1:18">
      <c r="A10" s="130" t="s">
        <v>558</v>
      </c>
      <c r="B10" s="131">
        <f>+'5.Closing Stock &amp; W Capital'!E42</f>
        <v>534283.90990000009</v>
      </c>
      <c r="C10" s="131">
        <f>+'5.Closing Stock &amp; W Capital'!F42</f>
        <v>572563.82938125019</v>
      </c>
      <c r="D10" s="131">
        <f>+'5.Closing Stock &amp; W Capital'!G42</f>
        <v>616864.03103587509</v>
      </c>
      <c r="E10" s="131">
        <f>+'5.Closing Stock &amp; W Capital'!H42</f>
        <v>669266.01604032202</v>
      </c>
      <c r="F10" s="131">
        <f>+'5.Closing Stock &amp; W Capital'!I42</f>
        <v>732325.653280942</v>
      </c>
      <c r="G10" s="131">
        <f>+'5.Closing Stock &amp; W Capital'!J42</f>
        <v>810399.51458856021</v>
      </c>
      <c r="H10" s="131">
        <f>+'5.Closing Stock &amp; W Capital'!K42</f>
        <v>910979.28297772026</v>
      </c>
      <c r="K10" s="68"/>
      <c r="L10" s="68"/>
      <c r="M10" s="68"/>
      <c r="N10" s="68"/>
      <c r="O10" s="68"/>
      <c r="P10" s="68"/>
      <c r="Q10" s="68"/>
      <c r="R10" s="68"/>
    </row>
    <row r="11" spans="1:18">
      <c r="A11" s="126" t="s">
        <v>206</v>
      </c>
      <c r="B11" s="129">
        <f t="shared" ref="B11:H11" si="0">SUM(B8:B10)</f>
        <v>7829297.2690695133</v>
      </c>
      <c r="C11" s="129">
        <f t="shared" si="0"/>
        <v>11629153.1478505</v>
      </c>
      <c r="D11" s="129">
        <f t="shared" si="0"/>
        <v>15690045.349533925</v>
      </c>
      <c r="E11" s="129">
        <f t="shared" si="0"/>
        <v>26889138.156319652</v>
      </c>
      <c r="F11" s="129">
        <f t="shared" si="0"/>
        <v>38493227.82919021</v>
      </c>
      <c r="G11" s="129">
        <f t="shared" si="0"/>
        <v>50382891.801364146</v>
      </c>
      <c r="H11" s="129">
        <f t="shared" si="0"/>
        <v>62374394.203626916</v>
      </c>
    </row>
    <row r="12" spans="1:18">
      <c r="A12" s="126"/>
      <c r="B12" s="131"/>
      <c r="C12" s="131"/>
      <c r="D12" s="131"/>
      <c r="E12" s="131"/>
      <c r="F12" s="131"/>
      <c r="G12" s="131"/>
      <c r="H12" s="131"/>
      <c r="J12" s="68"/>
      <c r="K12" s="68"/>
      <c r="L12" s="68"/>
      <c r="M12" s="68"/>
      <c r="N12" s="68"/>
      <c r="O12" s="68"/>
      <c r="P12" s="68"/>
      <c r="Q12" s="68"/>
    </row>
    <row r="13" spans="1:18">
      <c r="A13" s="132" t="s">
        <v>207</v>
      </c>
      <c r="B13" s="131">
        <f>+'3.Other Exp &amp; Taxes'!K65</f>
        <v>48390698.730000004</v>
      </c>
      <c r="C13" s="131">
        <f>+'3.Other Exp &amp; Taxes'!L65</f>
        <v>41939766.756999999</v>
      </c>
      <c r="D13" s="131">
        <f>+'3.Other Exp &amp; Taxes'!M65</f>
        <v>36375707.296299994</v>
      </c>
      <c r="E13" s="131">
        <f>+'3.Other Exp &amp; Taxes'!N65</f>
        <v>31573566.199419998</v>
      </c>
      <c r="F13" s="131">
        <f>+'3.Other Exp &amp; Taxes'!O65</f>
        <v>27426324.767315496</v>
      </c>
      <c r="G13" s="131">
        <f>+'3.Other Exp &amp; Taxes'!P65</f>
        <v>23842290.20024582</v>
      </c>
      <c r="H13" s="131">
        <f>+'3.Other Exp &amp; Taxes'!Q65</f>
        <v>20742869.403433833</v>
      </c>
    </row>
    <row r="14" spans="1:18">
      <c r="A14" s="132" t="s">
        <v>208</v>
      </c>
      <c r="B14" s="131">
        <f>+'6.Cons Profit &amp; Loss'!B42</f>
        <v>6450931.9730000002</v>
      </c>
      <c r="C14" s="131">
        <f>+'6.Cons Profit &amp; Loss'!C42</f>
        <v>5564059.4606999997</v>
      </c>
      <c r="D14" s="131">
        <f>+'6.Cons Profit &amp; Loss'!D42</f>
        <v>4802141.0968800001</v>
      </c>
      <c r="E14" s="131">
        <f>+'6.Cons Profit &amp; Loss'!E42</f>
        <v>4147241.4321044995</v>
      </c>
      <c r="F14" s="131">
        <f>+'6.Cons Profit &amp; Loss'!F42</f>
        <v>3584034.5670696748</v>
      </c>
      <c r="G14" s="131">
        <f>+'6.Cons Profit &amp; Loss'!G42</f>
        <v>3099420.7968119881</v>
      </c>
      <c r="H14" s="131">
        <f>+'6.Cons Profit &amp; Loss'!H42</f>
        <v>2682199.9506126782</v>
      </c>
      <c r="K14" s="68"/>
      <c r="L14" s="68"/>
      <c r="M14" s="68"/>
      <c r="N14" s="68"/>
      <c r="O14" s="68"/>
      <c r="P14" s="68"/>
      <c r="Q14" s="68"/>
    </row>
    <row r="15" spans="1:18" s="55" customFormat="1">
      <c r="A15" s="126" t="s">
        <v>165</v>
      </c>
      <c r="B15" s="129">
        <f t="shared" ref="B15:H15" si="1">B13-B14</f>
        <v>41939766.757000007</v>
      </c>
      <c r="C15" s="129">
        <f t="shared" si="1"/>
        <v>36375707.296300001</v>
      </c>
      <c r="D15" s="129">
        <f t="shared" si="1"/>
        <v>31573566.199419994</v>
      </c>
      <c r="E15" s="129">
        <f t="shared" si="1"/>
        <v>27426324.767315499</v>
      </c>
      <c r="F15" s="129">
        <f t="shared" si="1"/>
        <v>23842290.20024582</v>
      </c>
      <c r="G15" s="129">
        <f t="shared" si="1"/>
        <v>20742869.403433833</v>
      </c>
      <c r="H15" s="129">
        <f t="shared" si="1"/>
        <v>18060669.452821154</v>
      </c>
    </row>
    <row r="16" spans="1:18" s="55" customFormat="1">
      <c r="A16" s="126"/>
      <c r="B16" s="129"/>
      <c r="C16" s="129"/>
      <c r="D16" s="129"/>
      <c r="E16" s="129"/>
      <c r="F16" s="129"/>
      <c r="G16" s="129"/>
      <c r="H16" s="129"/>
    </row>
    <row r="17" spans="1:8" s="55" customFormat="1">
      <c r="A17" s="133"/>
      <c r="B17" s="129"/>
      <c r="C17" s="129"/>
      <c r="D17" s="129"/>
      <c r="E17" s="129"/>
      <c r="F17" s="129"/>
      <c r="G17" s="129"/>
      <c r="H17" s="129"/>
    </row>
    <row r="18" spans="1:8" s="55" customFormat="1">
      <c r="A18" s="126" t="s">
        <v>474</v>
      </c>
      <c r="B18" s="129">
        <f>'8.Cash Flow '!C21-'6.Cons Profit &amp; Loss'!B43</f>
        <v>306880</v>
      </c>
      <c r="C18" s="129">
        <f>B18-'6.Cons Profit &amp; Loss'!C43</f>
        <v>230160</v>
      </c>
      <c r="D18" s="129">
        <f>C18-'6.Cons Profit &amp; Loss'!D43</f>
        <v>153440</v>
      </c>
      <c r="E18" s="129">
        <f>D18-'6.Cons Profit &amp; Loss'!E43</f>
        <v>76720</v>
      </c>
      <c r="F18" s="129">
        <f>E18-'6.Cons Profit &amp; Loss'!F43</f>
        <v>0</v>
      </c>
      <c r="G18" s="129">
        <f>F18-'6.Cons Profit &amp; Loss'!G43</f>
        <v>0</v>
      </c>
      <c r="H18" s="129">
        <f>G18-'6.Cons Profit &amp; Loss'!H43</f>
        <v>0</v>
      </c>
    </row>
    <row r="19" spans="1:8">
      <c r="A19" s="132"/>
      <c r="B19" s="131"/>
      <c r="C19" s="131"/>
      <c r="D19" s="131"/>
      <c r="E19" s="131"/>
      <c r="F19" s="131"/>
      <c r="G19" s="131"/>
      <c r="H19" s="131"/>
    </row>
    <row r="20" spans="1:8">
      <c r="A20" s="133" t="s">
        <v>210</v>
      </c>
      <c r="B20" s="134">
        <f t="shared" ref="B20:H20" si="2">B11+B15+B17+B18</f>
        <v>50075944.026069522</v>
      </c>
      <c r="C20" s="134">
        <f t="shared" si="2"/>
        <v>48235020.4441505</v>
      </c>
      <c r="D20" s="134">
        <f t="shared" si="2"/>
        <v>47417051.548953921</v>
      </c>
      <c r="E20" s="134">
        <f t="shared" si="2"/>
        <v>54392182.923635155</v>
      </c>
      <c r="F20" s="134">
        <f t="shared" si="2"/>
        <v>62335518.029436029</v>
      </c>
      <c r="G20" s="134">
        <f t="shared" si="2"/>
        <v>71125761.204797983</v>
      </c>
      <c r="H20" s="134">
        <f t="shared" si="2"/>
        <v>80435063.656448066</v>
      </c>
    </row>
    <row r="21" spans="1:8">
      <c r="A21" s="121"/>
      <c r="B21" s="135"/>
      <c r="C21" s="135"/>
      <c r="D21" s="135"/>
      <c r="E21" s="135"/>
      <c r="F21" s="135"/>
      <c r="G21" s="135"/>
      <c r="H21" s="135"/>
    </row>
    <row r="22" spans="1:8">
      <c r="A22" s="124" t="s">
        <v>211</v>
      </c>
      <c r="B22" s="136"/>
      <c r="C22" s="136"/>
      <c r="D22" s="136"/>
      <c r="E22" s="136"/>
      <c r="F22" s="136"/>
      <c r="G22" s="136"/>
      <c r="H22" s="136"/>
    </row>
    <row r="23" spans="1:8">
      <c r="A23" s="126" t="s">
        <v>212</v>
      </c>
      <c r="B23" s="136"/>
      <c r="C23" s="136"/>
      <c r="D23" s="136"/>
      <c r="E23" s="136"/>
      <c r="F23" s="136"/>
      <c r="G23" s="136"/>
      <c r="H23" s="136"/>
    </row>
    <row r="24" spans="1:8">
      <c r="A24" s="130" t="s">
        <v>213</v>
      </c>
      <c r="B24" s="129"/>
      <c r="C24" s="129"/>
      <c r="D24" s="129"/>
      <c r="E24" s="129"/>
      <c r="F24" s="129"/>
      <c r="G24" s="129"/>
      <c r="H24" s="129"/>
    </row>
    <row r="25" spans="1:8">
      <c r="A25" s="130" t="s">
        <v>214</v>
      </c>
      <c r="B25" s="135">
        <f>+'5.Closing Stock &amp; W Capital'!E54</f>
        <v>204930.81475616441</v>
      </c>
      <c r="C25" s="135">
        <f>+'5.Closing Stock &amp; W Capital'!F54</f>
        <v>219613.52359828772</v>
      </c>
      <c r="D25" s="135">
        <f>+'5.Closing Stock &amp; W Capital'!G54</f>
        <v>236605.38176718494</v>
      </c>
      <c r="E25" s="135">
        <f>+'5.Closing Stock &amp; W Capital'!H54</f>
        <v>256704.77327573992</v>
      </c>
      <c r="F25" s="135">
        <f>+'5.Closing Stock &amp; W Capital'!I54</f>
        <v>280892.0313954298</v>
      </c>
      <c r="G25" s="135">
        <f>+'5.Closing Stock &amp; W Capital'!J54</f>
        <v>310838.16997917375</v>
      </c>
      <c r="H25" s="135">
        <f>+'5.Closing Stock &amp; W Capital'!K54</f>
        <v>349416.71127912553</v>
      </c>
    </row>
    <row r="26" spans="1:8" s="54" customFormat="1">
      <c r="A26" s="130" t="s">
        <v>215</v>
      </c>
      <c r="B26" s="129"/>
      <c r="C26" s="129"/>
      <c r="D26" s="129"/>
      <c r="E26" s="129"/>
      <c r="F26" s="129"/>
      <c r="G26" s="129"/>
      <c r="H26" s="129"/>
    </row>
    <row r="27" spans="1:8" s="54" customFormat="1">
      <c r="A27" s="126" t="s">
        <v>216</v>
      </c>
      <c r="B27" s="134">
        <f t="shared" ref="B27:H27" si="3">SUM(B24:B26)</f>
        <v>204930.81475616441</v>
      </c>
      <c r="C27" s="134">
        <f t="shared" si="3"/>
        <v>219613.52359828772</v>
      </c>
      <c r="D27" s="134">
        <f t="shared" si="3"/>
        <v>236605.38176718494</v>
      </c>
      <c r="E27" s="134">
        <f t="shared" si="3"/>
        <v>256704.77327573992</v>
      </c>
      <c r="F27" s="134">
        <f t="shared" si="3"/>
        <v>280892.0313954298</v>
      </c>
      <c r="G27" s="134">
        <f t="shared" si="3"/>
        <v>310838.16997917375</v>
      </c>
      <c r="H27" s="134">
        <f t="shared" si="3"/>
        <v>349416.71127912553</v>
      </c>
    </row>
    <row r="28" spans="1:8" s="54" customFormat="1">
      <c r="A28" s="126" t="s">
        <v>217</v>
      </c>
      <c r="B28" s="134">
        <f>'4.TL repayment sch'!G21</f>
        <v>12044440.063290395</v>
      </c>
      <c r="C28" s="134">
        <f>'4.TL repayment sch'!G33</f>
        <v>6381331.9595913151</v>
      </c>
      <c r="D28" s="134">
        <f>'4.TL repayment sch'!G45</f>
        <v>0</v>
      </c>
      <c r="E28" s="134">
        <f>'4.TL repayment sch'!G57</f>
        <v>0</v>
      </c>
      <c r="F28" s="134">
        <f>'4.TL repayment sch'!G69</f>
        <v>0</v>
      </c>
      <c r="G28" s="134">
        <f>'4.TL repayment sch'!G81</f>
        <v>0</v>
      </c>
      <c r="H28" s="134">
        <v>0</v>
      </c>
    </row>
    <row r="29" spans="1:8" s="54" customFormat="1">
      <c r="A29" s="126" t="s">
        <v>218</v>
      </c>
      <c r="B29" s="134"/>
      <c r="C29" s="134"/>
      <c r="D29" s="134"/>
      <c r="E29" s="134"/>
      <c r="F29" s="134"/>
      <c r="G29" s="134"/>
      <c r="H29" s="134"/>
    </row>
    <row r="30" spans="1:8" s="54" customFormat="1">
      <c r="A30" s="126"/>
      <c r="B30" s="137"/>
      <c r="C30" s="137"/>
      <c r="D30" s="137"/>
      <c r="E30" s="137"/>
      <c r="F30" s="137"/>
      <c r="G30" s="137"/>
      <c r="H30" s="137"/>
    </row>
    <row r="31" spans="1:8">
      <c r="A31" s="133" t="s">
        <v>219</v>
      </c>
      <c r="B31" s="134">
        <f t="shared" ref="B31:H31" si="4">SUM(B27:B29)</f>
        <v>12249370.878046559</v>
      </c>
      <c r="C31" s="134">
        <f t="shared" si="4"/>
        <v>6600945.4831896033</v>
      </c>
      <c r="D31" s="134">
        <f t="shared" si="4"/>
        <v>236605.38176718494</v>
      </c>
      <c r="E31" s="134">
        <f t="shared" si="4"/>
        <v>256704.77327573992</v>
      </c>
      <c r="F31" s="134">
        <f t="shared" si="4"/>
        <v>280892.0313954298</v>
      </c>
      <c r="G31" s="134">
        <f t="shared" si="4"/>
        <v>310838.16997917375</v>
      </c>
      <c r="H31" s="134">
        <f t="shared" si="4"/>
        <v>349416.71127912553</v>
      </c>
    </row>
    <row r="32" spans="1:8">
      <c r="A32" s="121"/>
      <c r="B32" s="138"/>
      <c r="C32" s="138"/>
      <c r="D32" s="138"/>
      <c r="E32" s="138"/>
      <c r="F32" s="138"/>
      <c r="G32" s="138"/>
      <c r="H32" s="138"/>
    </row>
    <row r="33" spans="1:8">
      <c r="A33" s="132" t="s">
        <v>220</v>
      </c>
      <c r="B33" s="131">
        <f>'1.Project Cost and MOF'!E21</f>
        <v>6098736.4710479453</v>
      </c>
      <c r="C33" s="131">
        <f>B33</f>
        <v>6098736.4710479453</v>
      </c>
      <c r="D33" s="131">
        <f t="shared" ref="D33:H34" si="5">C33</f>
        <v>6098736.4710479453</v>
      </c>
      <c r="E33" s="131">
        <f t="shared" si="5"/>
        <v>6098736.4710479453</v>
      </c>
      <c r="F33" s="131">
        <f t="shared" si="5"/>
        <v>6098736.4710479453</v>
      </c>
      <c r="G33" s="131">
        <f t="shared" si="5"/>
        <v>6098736.4710479453</v>
      </c>
      <c r="H33" s="131">
        <f t="shared" si="5"/>
        <v>6098736.4710479453</v>
      </c>
    </row>
    <row r="34" spans="1:8">
      <c r="A34" s="132" t="s">
        <v>475</v>
      </c>
      <c r="B34" s="131">
        <f>'1.Project Cost and MOF'!E19</f>
        <v>29264579.237999998</v>
      </c>
      <c r="C34" s="131">
        <f>B34</f>
        <v>29264579.237999998</v>
      </c>
      <c r="D34" s="131">
        <f t="shared" si="5"/>
        <v>29264579.237999998</v>
      </c>
      <c r="E34" s="131">
        <f t="shared" si="5"/>
        <v>29264579.237999998</v>
      </c>
      <c r="F34" s="131">
        <f t="shared" si="5"/>
        <v>29264579.237999998</v>
      </c>
      <c r="G34" s="131">
        <f t="shared" si="5"/>
        <v>29264579.237999998</v>
      </c>
      <c r="H34" s="131">
        <f t="shared" si="5"/>
        <v>29264579.237999998</v>
      </c>
    </row>
    <row r="35" spans="1:8">
      <c r="A35" s="126" t="s">
        <v>221</v>
      </c>
      <c r="B35" s="131"/>
      <c r="C35" s="131"/>
      <c r="D35" s="131"/>
      <c r="E35" s="131"/>
      <c r="F35" s="131"/>
      <c r="G35" s="131"/>
      <c r="H35" s="131"/>
    </row>
    <row r="36" spans="1:8">
      <c r="A36" s="132" t="s">
        <v>222</v>
      </c>
      <c r="B36" s="131">
        <v>0</v>
      </c>
      <c r="C36" s="131">
        <f t="shared" ref="C36:H36" si="6">B39</f>
        <v>2463257.4389750073</v>
      </c>
      <c r="D36" s="131">
        <f t="shared" si="6"/>
        <v>6270759.2519129459</v>
      </c>
      <c r="E36" s="131">
        <f t="shared" si="6"/>
        <v>11817130.458138786</v>
      </c>
      <c r="F36" s="131">
        <f t="shared" si="6"/>
        <v>18772162.441311464</v>
      </c>
      <c r="G36" s="131">
        <f t="shared" si="6"/>
        <v>26691310.288992647</v>
      </c>
      <c r="H36" s="131">
        <f t="shared" si="6"/>
        <v>35451607.325770855</v>
      </c>
    </row>
    <row r="37" spans="1:8">
      <c r="A37" s="132" t="s">
        <v>223</v>
      </c>
      <c r="B37" s="131">
        <f>'6.Cons Profit &amp; Loss'!B53</f>
        <v>2463257.4389750073</v>
      </c>
      <c r="C37" s="131">
        <f>'6.Cons Profit &amp; Loss'!C51</f>
        <v>3807501.8129379391</v>
      </c>
      <c r="D37" s="131">
        <f>'6.Cons Profit &amp; Loss'!D51</f>
        <v>5546371.2062258413</v>
      </c>
      <c r="E37" s="131">
        <f>'6.Cons Profit &amp; Loss'!E51</f>
        <v>6955031.9831726756</v>
      </c>
      <c r="F37" s="131">
        <f>'6.Cons Profit &amp; Loss'!F51</f>
        <v>7919147.8476811843</v>
      </c>
      <c r="G37" s="131">
        <f>'6.Cons Profit &amp; Loss'!G51</f>
        <v>8760297.0367782079</v>
      </c>
      <c r="H37" s="131">
        <f>'6.Cons Profit &amp; Loss'!H51</f>
        <v>9270723.9103501346</v>
      </c>
    </row>
    <row r="38" spans="1:8">
      <c r="A38" s="132" t="s">
        <v>224</v>
      </c>
      <c r="B38" s="131"/>
      <c r="C38" s="131"/>
      <c r="D38" s="131"/>
      <c r="E38" s="131"/>
      <c r="F38" s="131"/>
      <c r="G38" s="131"/>
      <c r="H38" s="131"/>
    </row>
    <row r="39" spans="1:8">
      <c r="A39" s="132" t="s">
        <v>225</v>
      </c>
      <c r="B39" s="131">
        <f t="shared" ref="B39:H39" si="7">B36+B37-B38</f>
        <v>2463257.4389750073</v>
      </c>
      <c r="C39" s="131">
        <f t="shared" si="7"/>
        <v>6270759.2519129459</v>
      </c>
      <c r="D39" s="131">
        <f t="shared" si="7"/>
        <v>11817130.458138786</v>
      </c>
      <c r="E39" s="131">
        <f t="shared" si="7"/>
        <v>18772162.441311464</v>
      </c>
      <c r="F39" s="131">
        <f t="shared" si="7"/>
        <v>26691310.288992647</v>
      </c>
      <c r="G39" s="131">
        <f t="shared" si="7"/>
        <v>35451607.325770855</v>
      </c>
      <c r="H39" s="131">
        <f t="shared" si="7"/>
        <v>44722331.236120991</v>
      </c>
    </row>
    <row r="40" spans="1:8">
      <c r="A40" s="132"/>
      <c r="B40" s="136"/>
      <c r="C40" s="136"/>
      <c r="D40" s="136"/>
      <c r="E40" s="136"/>
      <c r="F40" s="136"/>
      <c r="G40" s="136"/>
      <c r="H40" s="136"/>
    </row>
    <row r="41" spans="1:8">
      <c r="A41" s="139" t="s">
        <v>226</v>
      </c>
      <c r="B41" s="140">
        <f t="shared" ref="B41:H41" si="8">B33+B39+B34</f>
        <v>37826573.14802295</v>
      </c>
      <c r="C41" s="140">
        <f t="shared" si="8"/>
        <v>41634074.960960887</v>
      </c>
      <c r="D41" s="140">
        <f t="shared" si="8"/>
        <v>47180446.16718673</v>
      </c>
      <c r="E41" s="140">
        <f t="shared" si="8"/>
        <v>54135478.150359407</v>
      </c>
      <c r="F41" s="140">
        <f t="shared" si="8"/>
        <v>62054625.998040587</v>
      </c>
      <c r="G41" s="140">
        <f t="shared" si="8"/>
        <v>70814923.034818798</v>
      </c>
      <c r="H41" s="140">
        <f t="shared" si="8"/>
        <v>80085646.945168942</v>
      </c>
    </row>
    <row r="42" spans="1:8">
      <c r="A42" s="121"/>
      <c r="B42" s="131"/>
      <c r="C42" s="131"/>
      <c r="D42" s="131"/>
      <c r="E42" s="131"/>
      <c r="F42" s="131"/>
      <c r="G42" s="131"/>
      <c r="H42" s="131"/>
    </row>
    <row r="43" spans="1:8">
      <c r="A43" s="133" t="s">
        <v>227</v>
      </c>
      <c r="B43" s="134">
        <f t="shared" ref="B43:H43" si="9">B31+B41</f>
        <v>50075944.026069507</v>
      </c>
      <c r="C43" s="134">
        <f t="shared" si="9"/>
        <v>48235020.444150493</v>
      </c>
      <c r="D43" s="134">
        <f t="shared" si="9"/>
        <v>47417051.548953913</v>
      </c>
      <c r="E43" s="134">
        <f t="shared" si="9"/>
        <v>54392182.923635148</v>
      </c>
      <c r="F43" s="134">
        <f t="shared" si="9"/>
        <v>62335518.029436015</v>
      </c>
      <c r="G43" s="134">
        <f t="shared" si="9"/>
        <v>71125761.204797968</v>
      </c>
      <c r="H43" s="134">
        <f t="shared" si="9"/>
        <v>80435063.656448066</v>
      </c>
    </row>
    <row r="44" spans="1:8">
      <c r="A44" s="121"/>
      <c r="B44" s="141"/>
      <c r="C44" s="141"/>
      <c r="D44" s="141"/>
      <c r="E44" s="141"/>
      <c r="F44" s="141"/>
      <c r="G44" s="141"/>
      <c r="H44" s="141"/>
    </row>
    <row r="45" spans="1:8">
      <c r="A45" s="142" t="s">
        <v>228</v>
      </c>
      <c r="B45" s="143"/>
      <c r="C45" s="143"/>
      <c r="D45" s="143"/>
      <c r="E45" s="143"/>
      <c r="F45" s="143"/>
      <c r="G45" s="143"/>
      <c r="H45" s="143"/>
    </row>
    <row r="46" spans="1:8">
      <c r="A46" s="144" t="s">
        <v>229</v>
      </c>
      <c r="B46" s="145">
        <f t="shared" ref="B46:H46" si="10">B43-B20</f>
        <v>0</v>
      </c>
      <c r="C46" s="145">
        <f t="shared" si="10"/>
        <v>0</v>
      </c>
      <c r="D46" s="145">
        <f t="shared" si="10"/>
        <v>0</v>
      </c>
      <c r="E46" s="145">
        <f t="shared" si="10"/>
        <v>0</v>
      </c>
      <c r="F46" s="145">
        <f t="shared" si="10"/>
        <v>0</v>
      </c>
      <c r="G46" s="145">
        <f t="shared" si="10"/>
        <v>0</v>
      </c>
      <c r="H46" s="145">
        <f t="shared" si="10"/>
        <v>0</v>
      </c>
    </row>
    <row r="47" spans="1:8">
      <c r="A47" s="144"/>
      <c r="B47" s="145"/>
      <c r="C47" s="145"/>
      <c r="D47" s="145"/>
      <c r="E47" s="145"/>
      <c r="F47" s="145"/>
      <c r="G47" s="145"/>
      <c r="H47" s="145"/>
    </row>
    <row r="48" spans="1:8" ht="15.75" thickBot="1">
      <c r="A48" s="146"/>
      <c r="B48" s="147"/>
      <c r="C48" s="147"/>
      <c r="D48" s="147"/>
      <c r="E48" s="147"/>
      <c r="F48" s="147"/>
      <c r="G48" s="147"/>
      <c r="H48" s="147"/>
    </row>
    <row r="49" spans="1:9">
      <c r="B49" s="56"/>
      <c r="C49" s="56"/>
      <c r="D49" s="56"/>
      <c r="E49" s="56"/>
      <c r="F49" s="56"/>
      <c r="G49" s="56"/>
      <c r="H49" s="56"/>
    </row>
    <row r="50" spans="1:9" ht="39.6" customHeight="1">
      <c r="A50" s="455" t="s">
        <v>371</v>
      </c>
      <c r="B50" s="456"/>
      <c r="C50" s="456"/>
      <c r="D50" s="456"/>
      <c r="E50" s="456"/>
      <c r="F50" s="456"/>
      <c r="G50" s="456"/>
      <c r="H50" s="456"/>
      <c r="I50" s="456"/>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0866141732283472" right="0.70866141732283472" top="0.74803149606299213" bottom="0.74803149606299213" header="0.31496062992125984" footer="0.31496062992125984"/>
  <pageSetup scale="6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view="pageBreakPreview" zoomScale="80" zoomScaleNormal="100" zoomScaleSheetLayoutView="80" workbookViewId="0">
      <selection activeCell="A2" sqref="A2:I36"/>
    </sheetView>
  </sheetViews>
  <sheetFormatPr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s>
  <sheetData>
    <row r="1" spans="1:10">
      <c r="A1" s="437"/>
      <c r="B1" s="437"/>
      <c r="C1" s="437"/>
      <c r="D1" s="437"/>
      <c r="E1" s="437"/>
      <c r="F1" s="437"/>
      <c r="G1" s="437"/>
    </row>
    <row r="2" spans="1:10" ht="18.75">
      <c r="A2" s="423" t="s">
        <v>521</v>
      </c>
      <c r="B2" s="423"/>
      <c r="C2" s="423"/>
      <c r="D2" s="423"/>
      <c r="E2" s="423"/>
      <c r="F2" s="423"/>
      <c r="G2" s="423"/>
      <c r="H2" s="423"/>
      <c r="I2" s="423"/>
      <c r="J2" s="84"/>
    </row>
    <row r="4" spans="1:10">
      <c r="A4" s="58" t="s">
        <v>185</v>
      </c>
      <c r="B4" s="58" t="s">
        <v>0</v>
      </c>
      <c r="C4" s="59" t="s">
        <v>2</v>
      </c>
      <c r="D4" s="59" t="s">
        <v>3</v>
      </c>
      <c r="E4" s="59" t="s">
        <v>4</v>
      </c>
      <c r="F4" s="59" t="s">
        <v>5</v>
      </c>
      <c r="G4" s="59" t="s">
        <v>6</v>
      </c>
      <c r="H4" s="59" t="s">
        <v>134</v>
      </c>
      <c r="I4" s="59" t="s">
        <v>133</v>
      </c>
    </row>
    <row r="5" spans="1:10">
      <c r="A5" s="40">
        <v>1</v>
      </c>
      <c r="B5" s="40" t="s">
        <v>7</v>
      </c>
      <c r="C5" s="41"/>
      <c r="D5" s="41"/>
      <c r="E5" s="41"/>
      <c r="F5" s="41"/>
      <c r="G5" s="41"/>
      <c r="H5" s="41"/>
      <c r="I5" s="41"/>
    </row>
    <row r="6" spans="1:10">
      <c r="A6" s="40"/>
      <c r="B6" s="42" t="s">
        <v>324</v>
      </c>
      <c r="C6" s="41">
        <f>'6.Cons Profit &amp; Loss'!B15</f>
        <v>23254502.039999999</v>
      </c>
      <c r="D6" s="41">
        <f>'6.Cons Profit &amp; Loss'!C15</f>
        <v>24972164.122500002</v>
      </c>
      <c r="E6" s="41">
        <f>'6.Cons Profit &amp; Loss'!D15</f>
        <v>26803456.158149999</v>
      </c>
      <c r="F6" s="41">
        <f>'6.Cons Profit &amp; Loss'!E15</f>
        <v>28755446.987058759</v>
      </c>
      <c r="G6" s="41">
        <f>'6.Cons Profit &amp; Loss'!F15</f>
        <v>30835628.258463006</v>
      </c>
      <c r="H6" s="41">
        <f>'6.Cons Profit &amp; Loss'!G15</f>
        <v>33051939.039540045</v>
      </c>
      <c r="I6" s="41">
        <f>'6.Cons Profit &amp; Loss'!H15</f>
        <v>35412791.828078613</v>
      </c>
    </row>
    <row r="7" spans="1:10">
      <c r="A7" s="40">
        <v>2</v>
      </c>
      <c r="B7" s="40" t="s">
        <v>186</v>
      </c>
      <c r="C7" s="41">
        <f>'1.Project Cost and MOF'!E21</f>
        <v>6098736.4710479453</v>
      </c>
      <c r="D7" s="41"/>
      <c r="E7" s="41"/>
      <c r="F7" s="41"/>
      <c r="G7" s="41"/>
      <c r="H7" s="41"/>
      <c r="I7" s="41"/>
    </row>
    <row r="8" spans="1:10">
      <c r="A8" s="40"/>
      <c r="B8" s="40" t="s">
        <v>247</v>
      </c>
      <c r="C8" s="41"/>
      <c r="D8" s="41"/>
      <c r="E8" s="41"/>
      <c r="F8" s="41"/>
      <c r="G8" s="41"/>
      <c r="H8" s="41"/>
      <c r="I8" s="41"/>
    </row>
    <row r="9" spans="1:10">
      <c r="A9" s="40">
        <v>3</v>
      </c>
      <c r="B9" s="40" t="str">
        <f>'7.Balance Sheet'!A34</f>
        <v>Smart Grant -in-Aid</v>
      </c>
      <c r="C9" s="41">
        <f>'1.Project Cost and MOF'!E19</f>
        <v>29264579.237999998</v>
      </c>
      <c r="D9" s="41"/>
      <c r="E9" s="41"/>
      <c r="F9" s="41"/>
      <c r="G9" s="41"/>
      <c r="H9" s="41"/>
      <c r="I9" s="41"/>
    </row>
    <row r="10" spans="1:10">
      <c r="A10" s="40">
        <v>4</v>
      </c>
      <c r="B10" s="40" t="s">
        <v>187</v>
      </c>
      <c r="C10" s="41">
        <f>'1.Project Cost and MOF'!E20</f>
        <v>14632289.619000003</v>
      </c>
      <c r="D10" s="41"/>
      <c r="E10" s="41"/>
      <c r="F10" s="41"/>
      <c r="G10" s="41"/>
      <c r="H10" s="41"/>
      <c r="I10" s="41"/>
    </row>
    <row r="11" spans="1:10">
      <c r="A11" s="40">
        <v>5</v>
      </c>
      <c r="B11" s="40" t="s">
        <v>188</v>
      </c>
      <c r="C11" s="41"/>
      <c r="D11" s="41"/>
      <c r="E11" s="41"/>
      <c r="F11" s="41"/>
      <c r="G11" s="41"/>
      <c r="H11" s="41"/>
      <c r="I11" s="41"/>
    </row>
    <row r="12" spans="1:10">
      <c r="A12" s="400">
        <v>6</v>
      </c>
      <c r="B12" s="400" t="s">
        <v>723</v>
      </c>
      <c r="C12" s="41">
        <f>+'7.Balance Sheet'!B25</f>
        <v>204930.81475616441</v>
      </c>
      <c r="D12" s="41">
        <f>+'7.Balance Sheet'!C25-'7.Balance Sheet'!B25</f>
        <v>14682.708842123306</v>
      </c>
      <c r="E12" s="41">
        <f>+'7.Balance Sheet'!D25-'7.Balance Sheet'!C25</f>
        <v>16991.858168897219</v>
      </c>
      <c r="F12" s="41">
        <f>+'7.Balance Sheet'!E25-'7.Balance Sheet'!D25</f>
        <v>20099.391508554982</v>
      </c>
      <c r="G12" s="41">
        <f>+'7.Balance Sheet'!F25-'7.Balance Sheet'!E25</f>
        <v>24187.258119689883</v>
      </c>
      <c r="H12" s="41">
        <f>+'7.Balance Sheet'!G25-'7.Balance Sheet'!F25</f>
        <v>29946.138583743945</v>
      </c>
      <c r="I12" s="41">
        <f>+'7.Balance Sheet'!H25-'7.Balance Sheet'!G25</f>
        <v>38578.541299951787</v>
      </c>
    </row>
    <row r="13" spans="1:10">
      <c r="A13" s="40"/>
      <c r="B13" s="40" t="s">
        <v>189</v>
      </c>
      <c r="C13" s="43">
        <f>SUM(C6:C12)</f>
        <v>73455038.182804123</v>
      </c>
      <c r="D13" s="43">
        <f t="shared" ref="D13:I13" si="0">SUM(D6:D12)</f>
        <v>24986846.831342127</v>
      </c>
      <c r="E13" s="43">
        <f t="shared" si="0"/>
        <v>26820448.016318895</v>
      </c>
      <c r="F13" s="43">
        <f t="shared" si="0"/>
        <v>28775546.378567312</v>
      </c>
      <c r="G13" s="43">
        <f t="shared" si="0"/>
        <v>30859815.516582698</v>
      </c>
      <c r="H13" s="43">
        <f t="shared" si="0"/>
        <v>33081885.178123787</v>
      </c>
      <c r="I13" s="43">
        <f t="shared" si="0"/>
        <v>35451370.369378567</v>
      </c>
    </row>
    <row r="14" spans="1:10">
      <c r="A14" s="457" t="s">
        <v>190</v>
      </c>
      <c r="B14" s="457"/>
      <c r="C14" s="44"/>
      <c r="D14" s="44"/>
      <c r="E14" s="44"/>
      <c r="F14" s="44"/>
      <c r="G14" s="44"/>
      <c r="H14" s="44"/>
      <c r="I14" s="44"/>
    </row>
    <row r="15" spans="1:10">
      <c r="A15" s="40">
        <v>1</v>
      </c>
      <c r="B15" s="40" t="s">
        <v>191</v>
      </c>
      <c r="C15" s="44"/>
      <c r="D15" s="44"/>
      <c r="E15" s="44"/>
      <c r="F15" s="44"/>
      <c r="G15" s="44"/>
      <c r="H15" s="44"/>
      <c r="I15" s="44"/>
    </row>
    <row r="16" spans="1:10">
      <c r="A16" s="45" t="s">
        <v>192</v>
      </c>
      <c r="B16" s="44" t="str">
        <f>'[1]Total Cost of Project'!C3</f>
        <v>Land and Building</v>
      </c>
      <c r="C16" s="46">
        <f>'1.Project Cost and MOF'!D5</f>
        <v>16153456.73</v>
      </c>
      <c r="D16" s="46"/>
      <c r="E16" s="46"/>
      <c r="F16" s="46"/>
      <c r="G16" s="46"/>
      <c r="H16" s="46"/>
      <c r="I16" s="46"/>
    </row>
    <row r="17" spans="1:9">
      <c r="A17" s="45" t="s">
        <v>193</v>
      </c>
      <c r="B17" s="47" t="str">
        <f>'[1]Total Cost of Project'!C4</f>
        <v>Machinery and Equipment</v>
      </c>
      <c r="C17" s="46">
        <f>'1.Project Cost and MOF'!D6</f>
        <v>32237242</v>
      </c>
      <c r="D17" s="46"/>
      <c r="E17" s="46"/>
      <c r="F17" s="46"/>
      <c r="G17" s="46"/>
      <c r="H17" s="46"/>
      <c r="I17" s="46"/>
    </row>
    <row r="18" spans="1:9">
      <c r="A18" s="45" t="s">
        <v>230</v>
      </c>
      <c r="B18" s="47" t="s">
        <v>288</v>
      </c>
      <c r="C18" s="46">
        <f>'1.Project Cost and MOF'!D7</f>
        <v>0</v>
      </c>
      <c r="D18" s="46"/>
      <c r="E18" s="46"/>
      <c r="F18" s="46"/>
      <c r="G18" s="46"/>
      <c r="H18" s="46"/>
      <c r="I18" s="46"/>
    </row>
    <row r="19" spans="1:9">
      <c r="A19" s="45" t="s">
        <v>232</v>
      </c>
      <c r="B19" s="47" t="s">
        <v>290</v>
      </c>
      <c r="C19" s="46">
        <f>'1.Project Cost and MOF'!D8</f>
        <v>0</v>
      </c>
      <c r="D19" s="46"/>
      <c r="E19" s="46"/>
      <c r="F19" s="46"/>
      <c r="G19" s="46"/>
      <c r="H19" s="46"/>
      <c r="I19" s="46"/>
    </row>
    <row r="20" spans="1:9">
      <c r="A20" s="45" t="s">
        <v>291</v>
      </c>
      <c r="B20" s="47" t="s">
        <v>231</v>
      </c>
      <c r="C20" s="46">
        <f>'1.Project Cost and MOF'!D9</f>
        <v>0</v>
      </c>
      <c r="D20" s="41"/>
      <c r="E20" s="41"/>
      <c r="F20" s="41"/>
      <c r="G20" s="41"/>
      <c r="H20" s="41"/>
      <c r="I20" s="41"/>
    </row>
    <row r="21" spans="1:9">
      <c r="A21" s="45" t="s">
        <v>292</v>
      </c>
      <c r="B21" s="47" t="s">
        <v>233</v>
      </c>
      <c r="C21" s="46">
        <f>'1.Project Cost and MOF'!D10</f>
        <v>383600</v>
      </c>
      <c r="D21" s="41"/>
      <c r="E21" s="41"/>
      <c r="F21" s="41"/>
      <c r="G21" s="41"/>
      <c r="H21" s="41"/>
      <c r="I21" s="41"/>
    </row>
    <row r="22" spans="1:9">
      <c r="A22" s="40">
        <v>2</v>
      </c>
      <c r="B22" s="40" t="s">
        <v>194</v>
      </c>
      <c r="C22" s="44"/>
      <c r="D22" s="44"/>
      <c r="E22" s="44"/>
      <c r="F22" s="44"/>
      <c r="G22" s="44"/>
      <c r="H22" s="44"/>
      <c r="I22" s="44"/>
    </row>
    <row r="23" spans="1:9">
      <c r="A23" s="45" t="s">
        <v>192</v>
      </c>
      <c r="B23" s="44" t="s">
        <v>266</v>
      </c>
      <c r="C23" s="73">
        <f>'6.Cons Profit &amp; Loss'!B25</f>
        <v>10151394.2881</v>
      </c>
      <c r="D23" s="73">
        <f>'6.Cons Profit &amp; Loss'!C25</f>
        <v>11412996.668143753</v>
      </c>
      <c r="E23" s="73">
        <f>'6.Cons Profit &amp; Loss'!D25</f>
        <v>12292980.419062875</v>
      </c>
      <c r="F23" s="73">
        <f>'6.Cons Profit &amp; Loss'!E25</f>
        <v>13332918.335801994</v>
      </c>
      <c r="G23" s="73">
        <f>'6.Cons Profit &amp; Loss'!F25</f>
        <v>14583453.428378219</v>
      </c>
      <c r="H23" s="73">
        <f>'6.Cons Profit &amp; Loss'!G25</f>
        <v>16129916.430463586</v>
      </c>
      <c r="I23" s="73">
        <f>'6.Cons Profit &amp; Loss'!H25</f>
        <v>18119005.891165245</v>
      </c>
    </row>
    <row r="24" spans="1:9">
      <c r="A24" s="45" t="s">
        <v>193</v>
      </c>
      <c r="B24" s="44" t="s">
        <v>264</v>
      </c>
      <c r="C24" s="41">
        <f>'6.Cons Profit &amp; Loss'!B36</f>
        <v>1554800</v>
      </c>
      <c r="D24" s="41">
        <f>'6.Cons Profit &amp; Loss'!C36</f>
        <v>1632540</v>
      </c>
      <c r="E24" s="41">
        <f>'6.Cons Profit &amp; Loss'!D36</f>
        <v>1714167</v>
      </c>
      <c r="F24" s="41">
        <f>'6.Cons Profit &amp; Loss'!E36</f>
        <v>1799875.3500000003</v>
      </c>
      <c r="G24" s="41">
        <f>'6.Cons Profit &amp; Loss'!F36</f>
        <v>1889869.1175000002</v>
      </c>
      <c r="H24" s="41">
        <f>'6.Cons Profit &amp; Loss'!G36</f>
        <v>1984362.5733750002</v>
      </c>
      <c r="I24" s="41">
        <f>'6.Cons Profit &amp; Loss'!H36</f>
        <v>2083580.7020437506</v>
      </c>
    </row>
    <row r="25" spans="1:9">
      <c r="A25" s="48">
        <v>3</v>
      </c>
      <c r="B25" s="40" t="s">
        <v>473</v>
      </c>
      <c r="C25" s="41"/>
      <c r="D25" s="41"/>
      <c r="E25" s="41"/>
      <c r="F25" s="41"/>
      <c r="G25" s="41"/>
      <c r="H25" s="41"/>
      <c r="I25" s="41"/>
    </row>
    <row r="26" spans="1:9">
      <c r="A26" s="45"/>
      <c r="B26" s="44" t="s">
        <v>195</v>
      </c>
      <c r="C26" s="41">
        <f>SUM('4.TL repayment sch'!E10:E21)</f>
        <v>2587849.5557096084</v>
      </c>
      <c r="D26" s="41">
        <f>SUM('4.TL repayment sch'!E22:E33)</f>
        <v>5663108.1036990779</v>
      </c>
      <c r="E26" s="41">
        <f>SUM('4.TL repayment sch'!E34:E45)</f>
        <v>6381331.9595913161</v>
      </c>
      <c r="F26" s="41">
        <f>SUM('4.TL repayment sch'!E46:E57)</f>
        <v>0</v>
      </c>
      <c r="G26" s="41">
        <f>SUM('4.TL repayment sch'!E58:E69)</f>
        <v>0</v>
      </c>
      <c r="H26" s="41">
        <f>SUM('4.TL repayment sch'!E70:E81)</f>
        <v>0</v>
      </c>
      <c r="I26" s="41">
        <f>SUM('4.TL repayment sch'!E82:E93)</f>
        <v>0</v>
      </c>
    </row>
    <row r="27" spans="1:9">
      <c r="A27" s="45"/>
      <c r="B27" s="44" t="s">
        <v>196</v>
      </c>
      <c r="C27" s="41">
        <f>SUM('4.TL repayment sch'!D10:D21)</f>
        <v>1691929.5100148537</v>
      </c>
      <c r="D27" s="41">
        <f>SUM('4.TL repayment sch'!D22:D33)</f>
        <v>1140575.2734698458</v>
      </c>
      <c r="E27" s="41">
        <f>SUM('4.TL repayment sch'!D34:D45)</f>
        <v>422351.4175776082</v>
      </c>
      <c r="F27" s="41">
        <f>SUM('4.TL repayment sch'!D46:D57)</f>
        <v>0</v>
      </c>
      <c r="G27" s="41">
        <f>SUM('4.TL repayment sch'!D58:D69)</f>
        <v>0</v>
      </c>
      <c r="H27" s="41">
        <f>SUM('4.TL repayment sch'!D70:D81)</f>
        <v>0</v>
      </c>
      <c r="I27" s="41">
        <f>SUM('4.TL repayment sch'!D82:D93)</f>
        <v>0</v>
      </c>
    </row>
    <row r="28" spans="1:9">
      <c r="A28" s="45"/>
      <c r="B28" s="44" t="s">
        <v>197</v>
      </c>
      <c r="C28" s="41">
        <f t="shared" ref="C28:I28" si="1">C11</f>
        <v>0</v>
      </c>
      <c r="D28" s="41">
        <f t="shared" si="1"/>
        <v>0</v>
      </c>
      <c r="E28" s="41">
        <f t="shared" si="1"/>
        <v>0</v>
      </c>
      <c r="F28" s="41">
        <f t="shared" si="1"/>
        <v>0</v>
      </c>
      <c r="G28" s="41">
        <f t="shared" si="1"/>
        <v>0</v>
      </c>
      <c r="H28" s="41">
        <f t="shared" si="1"/>
        <v>0</v>
      </c>
      <c r="I28" s="41">
        <f t="shared" si="1"/>
        <v>0</v>
      </c>
    </row>
    <row r="29" spans="1:9">
      <c r="A29" s="45"/>
      <c r="B29" s="44" t="s">
        <v>198</v>
      </c>
      <c r="C29" s="49">
        <f>C28*12%</f>
        <v>0</v>
      </c>
      <c r="D29" s="49">
        <f t="shared" ref="D29:G29" si="2">D28*12%</f>
        <v>0</v>
      </c>
      <c r="E29" s="49">
        <f t="shared" si="2"/>
        <v>0</v>
      </c>
      <c r="F29" s="49">
        <f t="shared" si="2"/>
        <v>0</v>
      </c>
      <c r="G29" s="49">
        <f t="shared" si="2"/>
        <v>0</v>
      </c>
      <c r="H29" s="49">
        <f t="shared" ref="H29:I29" si="3">H28*12%</f>
        <v>0</v>
      </c>
      <c r="I29" s="49">
        <f t="shared" si="3"/>
        <v>0</v>
      </c>
    </row>
    <row r="30" spans="1:9">
      <c r="A30" s="40">
        <v>4</v>
      </c>
      <c r="B30" s="40" t="s">
        <v>199</v>
      </c>
      <c r="C30" s="41">
        <f>'6.Cons Profit &amp; Loss'!B50</f>
        <v>865468.82991013746</v>
      </c>
      <c r="D30" s="41">
        <f>'6.Cons Profit &amp; Loss'!C50</f>
        <v>1337770.9072484649</v>
      </c>
      <c r="E30" s="41">
        <f>'6.Cons Profit &amp; Loss'!D50</f>
        <v>1948725.0184036738</v>
      </c>
      <c r="F30" s="41">
        <f>'6.Cons Profit &amp; Loss'!E50</f>
        <v>2443659.8859795891</v>
      </c>
      <c r="G30" s="41">
        <f>'6.Cons Profit &amp; Loss'!F50</f>
        <v>2782403.2978339298</v>
      </c>
      <c r="H30" s="41">
        <f>'6.Cons Profit &amp; Loss'!G50</f>
        <v>3077942.2021112619</v>
      </c>
      <c r="I30" s="41">
        <f>'6.Cons Profit &amp; Loss'!H50</f>
        <v>3257281.3739068042</v>
      </c>
    </row>
    <row r="31" spans="1:9">
      <c r="A31" s="40">
        <v>5</v>
      </c>
      <c r="B31" s="400" t="s">
        <v>721</v>
      </c>
      <c r="C31" s="41">
        <f>+'7.Balance Sheet'!B9</f>
        <v>891953.50290410954</v>
      </c>
      <c r="D31" s="41">
        <f>+'7.Balance Sheet'!C9-'7.Balance Sheet'!B9</f>
        <v>65882.929191780859</v>
      </c>
      <c r="E31" s="41">
        <f>+'7.Balance Sheet'!D9-'7.Balance Sheet'!C9</f>
        <v>70241.338353698608</v>
      </c>
      <c r="F31" s="41">
        <f>+'7.Balance Sheet'!E9-'7.Balance Sheet'!D9</f>
        <v>74870.881108829286</v>
      </c>
      <c r="G31" s="41">
        <f>+'7.Balance Sheet'!F9-'7.Balance Sheet'!E9</f>
        <v>79787.774793587625</v>
      </c>
      <c r="H31" s="41">
        <f>+'7.Balance Sheet'!G9-'7.Balance Sheet'!F9</f>
        <v>85009.180644050706</v>
      </c>
      <c r="I31" s="41">
        <f>+'7.Balance Sheet'!H9-'7.Balance Sheet'!G9</f>
        <v>90553.257642575074</v>
      </c>
    </row>
    <row r="32" spans="1:9">
      <c r="A32" s="40">
        <v>6</v>
      </c>
      <c r="B32" s="400" t="s">
        <v>722</v>
      </c>
      <c r="C32" s="41">
        <f>+'7.Balance Sheet'!B10</f>
        <v>534283.90990000009</v>
      </c>
      <c r="D32" s="41">
        <f>+'7.Balance Sheet'!C10-'7.Balance Sheet'!B10</f>
        <v>38279.919481250108</v>
      </c>
      <c r="E32" s="41">
        <f>+'7.Balance Sheet'!D10-'7.Balance Sheet'!C10</f>
        <v>44300.201654624892</v>
      </c>
      <c r="F32" s="41">
        <f>+'7.Balance Sheet'!E10-'7.Balance Sheet'!D10</f>
        <v>52401.985004446935</v>
      </c>
      <c r="G32" s="41">
        <f>+'7.Balance Sheet'!F10-'7.Balance Sheet'!E10</f>
        <v>63059.637240619981</v>
      </c>
      <c r="H32" s="41">
        <f>+'7.Balance Sheet'!G10-'7.Balance Sheet'!F10</f>
        <v>78073.861307618208</v>
      </c>
      <c r="I32" s="41">
        <f>+'7.Balance Sheet'!H10-'7.Balance Sheet'!G10</f>
        <v>100579.76838916005</v>
      </c>
    </row>
    <row r="33" spans="1:10">
      <c r="A33" s="40"/>
      <c r="B33" s="40" t="s">
        <v>200</v>
      </c>
      <c r="C33" s="50">
        <f>SUM(C16:C32)</f>
        <v>67051978.326538719</v>
      </c>
      <c r="D33" s="50">
        <f t="shared" ref="D33:I33" si="4">SUM(D16:D32)</f>
        <v>21291153.801234171</v>
      </c>
      <c r="E33" s="50">
        <f t="shared" si="4"/>
        <v>22874097.354643796</v>
      </c>
      <c r="F33" s="50">
        <f t="shared" si="4"/>
        <v>17703726.437894858</v>
      </c>
      <c r="G33" s="50">
        <f t="shared" si="4"/>
        <v>19398573.255746353</v>
      </c>
      <c r="H33" s="50">
        <f t="shared" si="4"/>
        <v>21355304.247901518</v>
      </c>
      <c r="I33" s="50">
        <f t="shared" si="4"/>
        <v>23651000.993147533</v>
      </c>
    </row>
    <row r="34" spans="1:10">
      <c r="A34" s="40"/>
      <c r="B34" s="40" t="s">
        <v>201</v>
      </c>
      <c r="C34" s="50">
        <f t="shared" ref="C34:I34" si="5">C13-C33</f>
        <v>6403059.8562654033</v>
      </c>
      <c r="D34" s="50">
        <f t="shared" si="5"/>
        <v>3695693.0301079564</v>
      </c>
      <c r="E34" s="50">
        <f t="shared" si="5"/>
        <v>3946350.6616750993</v>
      </c>
      <c r="F34" s="50">
        <f t="shared" si="5"/>
        <v>11071819.940672453</v>
      </c>
      <c r="G34" s="50">
        <f t="shared" si="5"/>
        <v>11461242.260836344</v>
      </c>
      <c r="H34" s="50">
        <f t="shared" si="5"/>
        <v>11726580.930222269</v>
      </c>
      <c r="I34" s="50">
        <f t="shared" si="5"/>
        <v>11800369.376231033</v>
      </c>
    </row>
    <row r="35" spans="1:10">
      <c r="A35" s="48"/>
      <c r="B35" s="44" t="s">
        <v>202</v>
      </c>
      <c r="C35" s="44"/>
      <c r="D35" s="51">
        <f t="shared" ref="D35:I35" si="6">C36</f>
        <v>6403059.8562654033</v>
      </c>
      <c r="E35" s="51">
        <f t="shared" si="6"/>
        <v>10098752.88637336</v>
      </c>
      <c r="F35" s="51">
        <f t="shared" si="6"/>
        <v>14045103.548048459</v>
      </c>
      <c r="G35" s="51">
        <f t="shared" si="6"/>
        <v>25116923.488720912</v>
      </c>
      <c r="H35" s="51">
        <f t="shared" si="6"/>
        <v>36578165.749557257</v>
      </c>
      <c r="I35" s="51">
        <f t="shared" si="6"/>
        <v>48304746.67977953</v>
      </c>
    </row>
    <row r="36" spans="1:10">
      <c r="A36" s="40"/>
      <c r="B36" s="52" t="s">
        <v>203</v>
      </c>
      <c r="C36" s="50">
        <f t="shared" ref="C36:I36" si="7">C34+C35</f>
        <v>6403059.8562654033</v>
      </c>
      <c r="D36" s="50">
        <f t="shared" si="7"/>
        <v>10098752.88637336</v>
      </c>
      <c r="E36" s="50">
        <f t="shared" si="7"/>
        <v>14045103.548048459</v>
      </c>
      <c r="F36" s="50">
        <f t="shared" si="7"/>
        <v>25116923.488720912</v>
      </c>
      <c r="G36" s="50">
        <f t="shared" si="7"/>
        <v>36578165.749557257</v>
      </c>
      <c r="H36" s="50">
        <f t="shared" si="7"/>
        <v>48304746.67977953</v>
      </c>
      <c r="I36" s="50">
        <f t="shared" si="7"/>
        <v>60105116.056010559</v>
      </c>
    </row>
    <row r="38" spans="1:10" ht="39.950000000000003" customHeight="1">
      <c r="A38" s="458" t="s">
        <v>372</v>
      </c>
      <c r="B38" s="458"/>
      <c r="C38" s="458"/>
      <c r="D38" s="458"/>
      <c r="E38" s="458"/>
      <c r="F38" s="458"/>
      <c r="G38" s="458"/>
      <c r="H38" s="458"/>
      <c r="I38" s="458"/>
      <c r="J38" s="458"/>
    </row>
    <row r="40" spans="1:10">
      <c r="C40" s="67"/>
    </row>
    <row r="41" spans="1:10">
      <c r="C41" s="67"/>
    </row>
    <row r="42" spans="1:10">
      <c r="C42" s="67"/>
    </row>
    <row r="43" spans="1:10">
      <c r="C43" s="67"/>
    </row>
    <row r="44" spans="1:10">
      <c r="C44" s="67"/>
    </row>
  </sheetData>
  <mergeCells count="4">
    <mergeCell ref="A1:G1"/>
    <mergeCell ref="A14:B14"/>
    <mergeCell ref="A2:I2"/>
    <mergeCell ref="A38:J38"/>
  </mergeCells>
  <pageMargins left="0.7" right="0.7" top="0.75" bottom="0.75" header="0.3" footer="0.3"/>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5:S184"/>
  <sheetViews>
    <sheetView view="pageBreakPreview" topLeftCell="A144" zoomScale="80" zoomScaleNormal="100" zoomScaleSheetLayoutView="80" workbookViewId="0">
      <selection activeCell="B123" sqref="B123:I183"/>
    </sheetView>
  </sheetViews>
  <sheetFormatPr defaultRowHeight="15"/>
  <cols>
    <col min="2" max="2" width="32.7109375" bestFit="1" customWidth="1"/>
    <col min="3" max="3" width="18.7109375" bestFit="1" customWidth="1"/>
    <col min="4" max="5" width="14.85546875"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459" t="s">
        <v>522</v>
      </c>
      <c r="C5" s="459"/>
      <c r="D5" s="459"/>
      <c r="E5" s="459"/>
      <c r="F5" s="459"/>
      <c r="G5" s="459"/>
      <c r="H5" s="459"/>
      <c r="I5" s="459"/>
      <c r="J5" s="459"/>
    </row>
    <row r="6" spans="2:12" ht="16.5">
      <c r="B6" s="8"/>
      <c r="C6" s="8"/>
      <c r="D6" s="8"/>
      <c r="E6" s="8"/>
      <c r="F6" s="8"/>
      <c r="G6" s="8"/>
      <c r="H6" s="8"/>
      <c r="I6" s="8"/>
      <c r="J6" s="8"/>
    </row>
    <row r="7" spans="2:12" ht="15.75">
      <c r="B7" s="86" t="s">
        <v>29</v>
      </c>
      <c r="C7" s="87" t="s">
        <v>293</v>
      </c>
      <c r="D7" s="87" t="s">
        <v>2</v>
      </c>
      <c r="E7" s="87" t="s">
        <v>3</v>
      </c>
      <c r="F7" s="87" t="s">
        <v>4</v>
      </c>
      <c r="G7" s="87" t="s">
        <v>5</v>
      </c>
      <c r="H7" s="87" t="s">
        <v>6</v>
      </c>
      <c r="I7" s="87" t="s">
        <v>134</v>
      </c>
      <c r="J7" s="87" t="s">
        <v>133</v>
      </c>
      <c r="L7" s="381"/>
    </row>
    <row r="8" spans="2:12">
      <c r="B8" s="88"/>
      <c r="C8" s="88"/>
      <c r="D8" s="88"/>
      <c r="E8" s="88"/>
      <c r="F8" s="88"/>
      <c r="G8" s="88"/>
      <c r="H8" s="88"/>
      <c r="I8" s="88"/>
      <c r="J8" s="88"/>
    </row>
    <row r="9" spans="2:12">
      <c r="B9" s="88" t="s">
        <v>30</v>
      </c>
      <c r="C9" s="88"/>
      <c r="D9" s="89">
        <f>'6.Cons Profit &amp; Loss'!B51</f>
        <v>2463257.4389750073</v>
      </c>
      <c r="E9" s="89">
        <f>'6.Cons Profit &amp; Loss'!C51</f>
        <v>3807501.8129379391</v>
      </c>
      <c r="F9" s="89">
        <f>'6.Cons Profit &amp; Loss'!D51</f>
        <v>5546371.2062258413</v>
      </c>
      <c r="G9" s="89">
        <f>'6.Cons Profit &amp; Loss'!E51</f>
        <v>6955031.9831726756</v>
      </c>
      <c r="H9" s="89">
        <f>'6.Cons Profit &amp; Loss'!F51</f>
        <v>7919147.8476811843</v>
      </c>
      <c r="I9" s="89">
        <f>'6.Cons Profit &amp; Loss'!G51</f>
        <v>8760297.0367782079</v>
      </c>
      <c r="J9" s="89">
        <f>'6.Cons Profit &amp; Loss'!H51</f>
        <v>9270723.9103501346</v>
      </c>
    </row>
    <row r="10" spans="2:12">
      <c r="B10" s="88"/>
      <c r="C10" s="88"/>
      <c r="D10" s="89"/>
      <c r="E10" s="89"/>
      <c r="F10" s="89"/>
      <c r="G10" s="89"/>
      <c r="H10" s="89"/>
      <c r="I10" s="89"/>
      <c r="J10" s="89"/>
    </row>
    <row r="11" spans="2:12">
      <c r="B11" s="90" t="s">
        <v>31</v>
      </c>
      <c r="C11" s="90"/>
      <c r="D11" s="89">
        <f>'6.Cons Profit &amp; Loss'!B42</f>
        <v>6450931.9730000002</v>
      </c>
      <c r="E11" s="89">
        <f>'6.Cons Profit &amp; Loss'!C42</f>
        <v>5564059.4606999997</v>
      </c>
      <c r="F11" s="89">
        <f>'6.Cons Profit &amp; Loss'!D42</f>
        <v>4802141.0968800001</v>
      </c>
      <c r="G11" s="89">
        <f>'6.Cons Profit &amp; Loss'!E42</f>
        <v>4147241.4321044995</v>
      </c>
      <c r="H11" s="89">
        <f>'6.Cons Profit &amp; Loss'!F42</f>
        <v>3584034.5670696748</v>
      </c>
      <c r="I11" s="89">
        <f>'6.Cons Profit &amp; Loss'!G42</f>
        <v>3099420.7968119881</v>
      </c>
      <c r="J11" s="89">
        <f>'6.Cons Profit &amp; Loss'!H42</f>
        <v>2682199.9506126782</v>
      </c>
    </row>
    <row r="12" spans="2:12">
      <c r="B12" s="88" t="s">
        <v>36</v>
      </c>
      <c r="C12" s="88"/>
      <c r="D12" s="89">
        <f>'6.Cons Profit &amp; Loss'!B43</f>
        <v>76720</v>
      </c>
      <c r="E12" s="89">
        <f>'6.Cons Profit &amp; Loss'!C43</f>
        <v>76720</v>
      </c>
      <c r="F12" s="89">
        <f>'6.Cons Profit &amp; Loss'!D43</f>
        <v>76720</v>
      </c>
      <c r="G12" s="89">
        <f>'6.Cons Profit &amp; Loss'!E43</f>
        <v>76720</v>
      </c>
      <c r="H12" s="89">
        <f>'6.Cons Profit &amp; Loss'!F43</f>
        <v>76720</v>
      </c>
      <c r="I12" s="89">
        <f>'6.Cons Profit &amp; Loss'!G43</f>
        <v>0</v>
      </c>
      <c r="J12" s="89">
        <f>'6.Cons Profit &amp; Loss'!H43</f>
        <v>0</v>
      </c>
    </row>
    <row r="13" spans="2:12">
      <c r="B13" s="88"/>
      <c r="C13" s="88"/>
      <c r="D13" s="88"/>
      <c r="E13" s="88"/>
      <c r="F13" s="88"/>
      <c r="G13" s="88"/>
      <c r="H13" s="88"/>
      <c r="I13" s="88"/>
      <c r="J13" s="88"/>
    </row>
    <row r="14" spans="2:12">
      <c r="B14" s="88" t="s">
        <v>32</v>
      </c>
      <c r="C14" s="88"/>
      <c r="D14" s="89">
        <f>SUM(D9:D12)</f>
        <v>8990909.4119750075</v>
      </c>
      <c r="E14" s="89">
        <f t="shared" ref="E14:J14" si="0">SUM(E9:E12)</f>
        <v>9448281.2736379392</v>
      </c>
      <c r="F14" s="89">
        <f t="shared" si="0"/>
        <v>10425232.303105842</v>
      </c>
      <c r="G14" s="89">
        <f t="shared" si="0"/>
        <v>11178993.415277176</v>
      </c>
      <c r="H14" s="89">
        <f t="shared" si="0"/>
        <v>11579902.414750859</v>
      </c>
      <c r="I14" s="89">
        <f t="shared" si="0"/>
        <v>11859717.833590196</v>
      </c>
      <c r="J14" s="89">
        <f t="shared" si="0"/>
        <v>11952923.860962812</v>
      </c>
    </row>
    <row r="15" spans="2:12">
      <c r="B15" s="88" t="s">
        <v>302</v>
      </c>
      <c r="C15" s="91">
        <f>-'1.Project Cost and MOF'!D12</f>
        <v>-49995605.328047946</v>
      </c>
      <c r="D15" s="89">
        <f>D14</f>
        <v>8990909.4119750075</v>
      </c>
      <c r="E15" s="89">
        <f t="shared" ref="E15:J15" si="1">E14</f>
        <v>9448281.2736379392</v>
      </c>
      <c r="F15" s="89">
        <f t="shared" si="1"/>
        <v>10425232.303105842</v>
      </c>
      <c r="G15" s="89">
        <f t="shared" si="1"/>
        <v>11178993.415277176</v>
      </c>
      <c r="H15" s="89">
        <f t="shared" si="1"/>
        <v>11579902.414750859</v>
      </c>
      <c r="I15" s="89">
        <f t="shared" si="1"/>
        <v>11859717.833590196</v>
      </c>
      <c r="J15" s="89">
        <f t="shared" si="1"/>
        <v>11952923.860962812</v>
      </c>
    </row>
    <row r="16" spans="2:12">
      <c r="B16" s="88" t="s">
        <v>235</v>
      </c>
      <c r="C16" s="271">
        <f>IRR(C15:J15)</f>
        <v>0.10841383812482497</v>
      </c>
      <c r="D16" s="89"/>
      <c r="E16" s="89"/>
      <c r="F16" s="89"/>
      <c r="G16" s="89"/>
      <c r="H16" s="89"/>
      <c r="I16" s="89"/>
      <c r="J16" s="89"/>
    </row>
    <row r="17" spans="2:19">
      <c r="B17" s="88"/>
      <c r="C17" s="88"/>
      <c r="D17" s="88"/>
      <c r="E17" s="88"/>
      <c r="F17" s="88"/>
      <c r="G17" s="88"/>
      <c r="H17" s="88"/>
      <c r="I17" s="88"/>
      <c r="J17" s="88"/>
    </row>
    <row r="18" spans="2:19" ht="16.5">
      <c r="B18" s="272" t="s">
        <v>369</v>
      </c>
      <c r="C18" s="272"/>
      <c r="D18" s="273">
        <f>1/(1+$C$16)</f>
        <v>0.90219010770540753</v>
      </c>
      <c r="E18" s="274">
        <f t="shared" ref="E18:J18" si="2">D18/(1+$C$16)</f>
        <v>0.81394699044149488</v>
      </c>
      <c r="F18" s="274">
        <f t="shared" si="2"/>
        <v>0.73433492297290459</v>
      </c>
      <c r="G18" s="274">
        <f t="shared" si="2"/>
        <v>0.6625097032487669</v>
      </c>
      <c r="H18" s="274">
        <f t="shared" si="2"/>
        <v>0.59770970052988259</v>
      </c>
      <c r="I18" s="274">
        <f t="shared" si="2"/>
        <v>0.53924777909762167</v>
      </c>
      <c r="J18" s="274">
        <f t="shared" si="2"/>
        <v>0.48650401190398512</v>
      </c>
      <c r="L18" s="17"/>
      <c r="M18" s="17"/>
      <c r="N18" s="17"/>
      <c r="O18" s="17"/>
      <c r="P18" s="17"/>
      <c r="Q18" s="17"/>
      <c r="R18" s="17"/>
      <c r="S18" s="17"/>
    </row>
    <row r="19" spans="2:19">
      <c r="B19" s="88" t="s">
        <v>33</v>
      </c>
      <c r="C19" s="88"/>
      <c r="D19" s="89">
        <f t="shared" ref="D19:J19" si="3">D14*D18</f>
        <v>8111509.5307592945</v>
      </c>
      <c r="E19" s="89">
        <f t="shared" si="3"/>
        <v>7690400.1075223349</v>
      </c>
      <c r="F19" s="89">
        <f t="shared" si="3"/>
        <v>7655612.1602758653</v>
      </c>
      <c r="G19" s="89">
        <f t="shared" si="3"/>
        <v>7406191.6101752007</v>
      </c>
      <c r="H19" s="89">
        <f t="shared" si="3"/>
        <v>6921420.0044860002</v>
      </c>
      <c r="I19" s="89">
        <f t="shared" si="3"/>
        <v>6395326.5024879705</v>
      </c>
      <c r="J19" s="89">
        <f t="shared" si="3"/>
        <v>5815145.4123412799</v>
      </c>
      <c r="L19" s="6"/>
    </row>
    <row r="20" spans="2:19">
      <c r="B20" s="88" t="s">
        <v>34</v>
      </c>
      <c r="C20" s="88"/>
      <c r="D20" s="466">
        <f>SUM(D19:J19)</f>
        <v>49995605.328047946</v>
      </c>
      <c r="E20" s="466"/>
      <c r="F20" s="466"/>
      <c r="G20" s="466"/>
      <c r="H20" s="466"/>
      <c r="I20" s="466"/>
      <c r="J20" s="466"/>
      <c r="L20" s="6"/>
    </row>
    <row r="21" spans="2:19">
      <c r="B21" s="88"/>
      <c r="C21" s="88"/>
      <c r="D21" s="89"/>
      <c r="E21" s="89"/>
      <c r="F21" s="89"/>
      <c r="G21" s="89"/>
      <c r="H21" s="89"/>
      <c r="I21" s="89"/>
      <c r="J21" s="89"/>
    </row>
    <row r="22" spans="2:19">
      <c r="B22" s="9" t="s">
        <v>35</v>
      </c>
      <c r="C22" s="9"/>
      <c r="D22" s="467">
        <f>'1.Project Cost and MOF'!D12</f>
        <v>49995605.328047946</v>
      </c>
      <c r="E22" s="467"/>
      <c r="F22" s="467"/>
      <c r="G22" s="467"/>
      <c r="H22" s="467"/>
      <c r="I22" s="467"/>
      <c r="J22" s="467"/>
    </row>
    <row r="23" spans="2:19">
      <c r="F23" s="17">
        <f>D20-D22</f>
        <v>0</v>
      </c>
    </row>
    <row r="24" spans="2:19" ht="29.45" customHeight="1">
      <c r="B24" s="460" t="s">
        <v>387</v>
      </c>
      <c r="C24" s="460"/>
      <c r="D24" s="460"/>
      <c r="E24" s="460"/>
      <c r="F24" s="460"/>
      <c r="G24" s="460"/>
      <c r="H24" s="460"/>
      <c r="I24" s="460"/>
      <c r="J24" s="460"/>
    </row>
    <row r="25" spans="2:19">
      <c r="K25" s="17"/>
      <c r="L25" s="17"/>
      <c r="M25" s="17"/>
    </row>
    <row r="26" spans="2:19" ht="18.75">
      <c r="B26" s="425" t="s">
        <v>523</v>
      </c>
      <c r="C26" s="425"/>
      <c r="D26" s="425"/>
      <c r="E26" s="425"/>
      <c r="F26" s="425"/>
      <c r="G26" s="425"/>
      <c r="H26" s="425"/>
      <c r="I26" s="425"/>
    </row>
    <row r="27" spans="2:19">
      <c r="K27" s="17"/>
    </row>
    <row r="28" spans="2:19">
      <c r="B28" s="113" t="s">
        <v>0</v>
      </c>
      <c r="C28" s="104" t="s">
        <v>2</v>
      </c>
      <c r="D28" s="104" t="s">
        <v>3</v>
      </c>
      <c r="E28" s="104" t="s">
        <v>4</v>
      </c>
      <c r="F28" s="104" t="s">
        <v>5</v>
      </c>
      <c r="G28" s="104" t="s">
        <v>6</v>
      </c>
      <c r="H28" s="104" t="s">
        <v>134</v>
      </c>
      <c r="I28" s="104" t="s">
        <v>133</v>
      </c>
    </row>
    <row r="29" spans="2:19">
      <c r="B29" s="95"/>
      <c r="C29" s="95"/>
      <c r="D29" s="95"/>
      <c r="E29" s="95"/>
      <c r="F29" s="95"/>
      <c r="G29" s="95"/>
      <c r="H29" s="95"/>
      <c r="I29" s="95"/>
    </row>
    <row r="30" spans="2:19">
      <c r="B30" s="95" t="s">
        <v>37</v>
      </c>
      <c r="C30" s="95"/>
      <c r="D30" s="95"/>
      <c r="E30" s="95"/>
      <c r="F30" s="95"/>
      <c r="G30" s="95"/>
      <c r="H30" s="95"/>
      <c r="I30" s="95"/>
    </row>
    <row r="31" spans="2:19">
      <c r="B31" s="95"/>
      <c r="C31" s="96"/>
      <c r="D31" s="96"/>
      <c r="E31" s="96"/>
      <c r="F31" s="96"/>
      <c r="G31" s="96"/>
      <c r="H31" s="96"/>
      <c r="I31" s="96"/>
    </row>
    <row r="32" spans="2:19">
      <c r="B32" s="110" t="str">
        <f>'6.Cons Profit &amp; Loss'!A8</f>
        <v>Faclitiy 1 - Cleaning &amp; Grading</v>
      </c>
      <c r="C32" s="96">
        <f>'6.Cons Profit &amp; Loss'!B8</f>
        <v>0</v>
      </c>
      <c r="D32" s="96">
        <f>'6.Cons Profit &amp; Loss'!C8</f>
        <v>0</v>
      </c>
      <c r="E32" s="96">
        <f>'6.Cons Profit &amp; Loss'!D8</f>
        <v>0</v>
      </c>
      <c r="F32" s="96">
        <f>'6.Cons Profit &amp; Loss'!E8</f>
        <v>0</v>
      </c>
      <c r="G32" s="96">
        <f>'6.Cons Profit &amp; Loss'!F8</f>
        <v>0</v>
      </c>
      <c r="H32" s="96">
        <f>'6.Cons Profit &amp; Loss'!G8</f>
        <v>0</v>
      </c>
      <c r="I32" s="96">
        <f>'6.Cons Profit &amp; Loss'!H8</f>
        <v>0</v>
      </c>
    </row>
    <row r="33" spans="2:9">
      <c r="B33" s="110" t="str">
        <f>'6.Cons Profit &amp; Loss'!A9</f>
        <v>Faclitiy 2 - Processing Unit- Dal Mill</v>
      </c>
      <c r="C33" s="96">
        <f>'6.Cons Profit &amp; Loss'!B9</f>
        <v>0</v>
      </c>
      <c r="D33" s="96">
        <f>'6.Cons Profit &amp; Loss'!C9</f>
        <v>0</v>
      </c>
      <c r="E33" s="96">
        <f>'6.Cons Profit &amp; Loss'!D9</f>
        <v>0</v>
      </c>
      <c r="F33" s="96">
        <f>'6.Cons Profit &amp; Loss'!E9</f>
        <v>0</v>
      </c>
      <c r="G33" s="96">
        <f>'6.Cons Profit &amp; Loss'!F9</f>
        <v>0</v>
      </c>
      <c r="H33" s="96">
        <f>'6.Cons Profit &amp; Loss'!G9</f>
        <v>0</v>
      </c>
      <c r="I33" s="96">
        <f>'6.Cons Profit &amp; Loss'!H9</f>
        <v>0</v>
      </c>
    </row>
    <row r="34" spans="2:9">
      <c r="B34" s="110" t="str">
        <f>'6.Cons Profit &amp; Loss'!A10</f>
        <v>Faclitiy 3 - Warehouse</v>
      </c>
      <c r="C34" s="96">
        <f>'6.Cons Profit &amp; Loss'!B10</f>
        <v>0</v>
      </c>
      <c r="D34" s="96">
        <f>'6.Cons Profit &amp; Loss'!C10</f>
        <v>0</v>
      </c>
      <c r="E34" s="96">
        <f>'6.Cons Profit &amp; Loss'!D10</f>
        <v>0</v>
      </c>
      <c r="F34" s="96">
        <f>'6.Cons Profit &amp; Loss'!E10</f>
        <v>0</v>
      </c>
      <c r="G34" s="96">
        <f>'6.Cons Profit &amp; Loss'!F10</f>
        <v>0</v>
      </c>
      <c r="H34" s="96">
        <f>'6.Cons Profit &amp; Loss'!G10</f>
        <v>0</v>
      </c>
      <c r="I34" s="96">
        <f>'6.Cons Profit &amp; Loss'!H10</f>
        <v>0</v>
      </c>
    </row>
    <row r="35" spans="2:9">
      <c r="B35" s="110" t="str">
        <f>'6.Cons Profit &amp; Loss'!A11</f>
        <v xml:space="preserve">Faclitiy 4 - Custom Hiring </v>
      </c>
      <c r="C35" s="96">
        <f>'6.Cons Profit &amp; Loss'!B11</f>
        <v>0</v>
      </c>
      <c r="D35" s="96">
        <f>'6.Cons Profit &amp; Loss'!C11</f>
        <v>0</v>
      </c>
      <c r="E35" s="96">
        <f>'6.Cons Profit &amp; Loss'!D11</f>
        <v>0</v>
      </c>
      <c r="F35" s="96">
        <f>'6.Cons Profit &amp; Loss'!E11</f>
        <v>0</v>
      </c>
      <c r="G35" s="96">
        <f>'6.Cons Profit &amp; Loss'!F11</f>
        <v>0</v>
      </c>
      <c r="H35" s="96">
        <f>'6.Cons Profit &amp; Loss'!G11</f>
        <v>0</v>
      </c>
      <c r="I35" s="96">
        <f>'6.Cons Profit &amp; Loss'!H11</f>
        <v>0</v>
      </c>
    </row>
    <row r="36" spans="2:9">
      <c r="B36" s="110" t="str">
        <f>'6.Cons Profit &amp; Loss'!A12</f>
        <v>Faclitiy 5 - Agri Input Centre</v>
      </c>
      <c r="C36" s="96">
        <f>'6.Cons Profit &amp; Loss'!B12</f>
        <v>0</v>
      </c>
      <c r="D36" s="96">
        <f>'6.Cons Profit &amp; Loss'!C12</f>
        <v>0</v>
      </c>
      <c r="E36" s="96">
        <f>'6.Cons Profit &amp; Loss'!D12</f>
        <v>0</v>
      </c>
      <c r="F36" s="96">
        <f>'6.Cons Profit &amp; Loss'!E12</f>
        <v>0</v>
      </c>
      <c r="G36" s="96">
        <f>'6.Cons Profit &amp; Loss'!F12</f>
        <v>0</v>
      </c>
      <c r="H36" s="96">
        <f>'6.Cons Profit &amp; Loss'!G12</f>
        <v>0</v>
      </c>
      <c r="I36" s="96">
        <f>'6.Cons Profit &amp; Loss'!H12</f>
        <v>0</v>
      </c>
    </row>
    <row r="37" spans="2:9">
      <c r="B37" s="110" t="str">
        <f>'6.Cons Profit &amp; Loss'!A13</f>
        <v>Facility 1 - Food Processing Unit</v>
      </c>
      <c r="C37" s="96">
        <f>'6.Cons Profit &amp; Loss'!B13</f>
        <v>23254502.039999999</v>
      </c>
      <c r="D37" s="96">
        <f>'6.Cons Profit &amp; Loss'!C13</f>
        <v>24972164.122500002</v>
      </c>
      <c r="E37" s="96">
        <f>'6.Cons Profit &amp; Loss'!D13</f>
        <v>26803456.158149999</v>
      </c>
      <c r="F37" s="96">
        <f>'6.Cons Profit &amp; Loss'!E13</f>
        <v>28755446.987058759</v>
      </c>
      <c r="G37" s="96">
        <f>'6.Cons Profit &amp; Loss'!F13</f>
        <v>30835628.258463006</v>
      </c>
      <c r="H37" s="96">
        <f>'6.Cons Profit &amp; Loss'!G13</f>
        <v>33051939.039540045</v>
      </c>
      <c r="I37" s="96">
        <f>'6.Cons Profit &amp; Loss'!H13</f>
        <v>35412791.828078613</v>
      </c>
    </row>
    <row r="38" spans="2:9">
      <c r="B38" s="110"/>
      <c r="C38" s="110"/>
      <c r="D38" s="110"/>
      <c r="E38" s="110"/>
      <c r="F38" s="110"/>
      <c r="G38" s="110"/>
      <c r="H38" s="110"/>
      <c r="I38" s="110"/>
    </row>
    <row r="39" spans="2:9">
      <c r="B39" s="95" t="s">
        <v>8</v>
      </c>
      <c r="C39" s="96">
        <f>SUM(C32:C38)</f>
        <v>23254502.039999999</v>
      </c>
      <c r="D39" s="96">
        <f t="shared" ref="D39:I39" si="4">SUM(D32:D38)</f>
        <v>24972164.122500002</v>
      </c>
      <c r="E39" s="96">
        <f t="shared" si="4"/>
        <v>26803456.158149999</v>
      </c>
      <c r="F39" s="96">
        <f t="shared" si="4"/>
        <v>28755446.987058759</v>
      </c>
      <c r="G39" s="96">
        <f t="shared" si="4"/>
        <v>30835628.258463006</v>
      </c>
      <c r="H39" s="96">
        <f t="shared" si="4"/>
        <v>33051939.039540045</v>
      </c>
      <c r="I39" s="96">
        <f t="shared" si="4"/>
        <v>35412791.828078613</v>
      </c>
    </row>
    <row r="40" spans="2:9">
      <c r="B40" s="95"/>
      <c r="C40" s="96"/>
      <c r="D40" s="96"/>
      <c r="E40" s="96"/>
      <c r="F40" s="96"/>
      <c r="G40" s="96"/>
      <c r="H40" s="96"/>
      <c r="I40" s="96"/>
    </row>
    <row r="41" spans="2:9">
      <c r="B41" s="95" t="s">
        <v>38</v>
      </c>
      <c r="C41" s="96">
        <f>'6.Cons Profit &amp; Loss'!B25</f>
        <v>10151394.2881</v>
      </c>
      <c r="D41" s="96">
        <f>'6.Cons Profit &amp; Loss'!C25</f>
        <v>11412996.668143753</v>
      </c>
      <c r="E41" s="96">
        <f>'6.Cons Profit &amp; Loss'!D25</f>
        <v>12292980.419062875</v>
      </c>
      <c r="F41" s="96">
        <f>'6.Cons Profit &amp; Loss'!E25</f>
        <v>13332918.335801994</v>
      </c>
      <c r="G41" s="96">
        <f>'6.Cons Profit &amp; Loss'!F25</f>
        <v>14583453.428378219</v>
      </c>
      <c r="H41" s="96">
        <f>'6.Cons Profit &amp; Loss'!G25</f>
        <v>16129916.430463586</v>
      </c>
      <c r="I41" s="96">
        <f>'6.Cons Profit &amp; Loss'!H25</f>
        <v>18119005.891165245</v>
      </c>
    </row>
    <row r="42" spans="2:9">
      <c r="B42" s="95"/>
      <c r="C42" s="96"/>
      <c r="D42" s="96"/>
      <c r="E42" s="96"/>
      <c r="F42" s="96"/>
      <c r="G42" s="96"/>
      <c r="H42" s="96"/>
      <c r="I42" s="96"/>
    </row>
    <row r="43" spans="2:9">
      <c r="B43" s="97" t="s">
        <v>39</v>
      </c>
      <c r="C43" s="115">
        <f>C39-C41</f>
        <v>13103107.751899999</v>
      </c>
      <c r="D43" s="115">
        <f t="shared" ref="D43:I43" si="5">D39-D41</f>
        <v>13559167.454356249</v>
      </c>
      <c r="E43" s="115">
        <f t="shared" si="5"/>
        <v>14510475.739087123</v>
      </c>
      <c r="F43" s="115">
        <f t="shared" si="5"/>
        <v>15422528.651256764</v>
      </c>
      <c r="G43" s="115">
        <f t="shared" si="5"/>
        <v>16252174.830084788</v>
      </c>
      <c r="H43" s="115">
        <f t="shared" si="5"/>
        <v>16922022.609076459</v>
      </c>
      <c r="I43" s="115">
        <f t="shared" si="5"/>
        <v>17293785.936913367</v>
      </c>
    </row>
    <row r="44" spans="2:9">
      <c r="B44" s="95"/>
      <c r="C44" s="96"/>
      <c r="D44" s="96"/>
      <c r="E44" s="96"/>
      <c r="F44" s="96"/>
      <c r="G44" s="96"/>
      <c r="H44" s="96"/>
      <c r="I44" s="96"/>
    </row>
    <row r="45" spans="2:9">
      <c r="B45" s="97" t="s">
        <v>41</v>
      </c>
      <c r="C45" s="115">
        <f>'6.Cons Profit &amp; Loss'!B36+'6.Cons Profit &amp; Loss'!B42+'6.Cons Profit &amp; Loss'!B43</f>
        <v>8082451.9730000002</v>
      </c>
      <c r="D45" s="115">
        <f>'6.Cons Profit &amp; Loss'!C36+'6.Cons Profit &amp; Loss'!C42+'6.Cons Profit &amp; Loss'!C43</f>
        <v>7273319.4606999997</v>
      </c>
      <c r="E45" s="115">
        <f>'6.Cons Profit &amp; Loss'!D36+'6.Cons Profit &amp; Loss'!D42+'6.Cons Profit &amp; Loss'!D43</f>
        <v>6593028.0968800001</v>
      </c>
      <c r="F45" s="115">
        <f>'6.Cons Profit &amp; Loss'!E36+'6.Cons Profit &amp; Loss'!E42+'6.Cons Profit &amp; Loss'!E43</f>
        <v>6023836.7821044996</v>
      </c>
      <c r="G45" s="115">
        <f>'6.Cons Profit &amp; Loss'!F36+'6.Cons Profit &amp; Loss'!F42+'6.Cons Profit &amp; Loss'!F43</f>
        <v>5550623.6845696755</v>
      </c>
      <c r="H45" s="115">
        <f>'6.Cons Profit &amp; Loss'!G36+'6.Cons Profit &amp; Loss'!G42+'6.Cons Profit &amp; Loss'!G43</f>
        <v>5083783.3701869883</v>
      </c>
      <c r="I45" s="115">
        <f>'6.Cons Profit &amp; Loss'!H36+'6.Cons Profit &amp; Loss'!H42+'6.Cons Profit &amp; Loss'!H43</f>
        <v>4765780.6526564285</v>
      </c>
    </row>
    <row r="46" spans="2:9">
      <c r="B46" s="95"/>
      <c r="C46" s="95"/>
      <c r="D46" s="95"/>
      <c r="E46" s="95"/>
      <c r="F46" s="95"/>
      <c r="G46" s="95"/>
      <c r="H46" s="95"/>
      <c r="I46" s="95"/>
    </row>
    <row r="47" spans="2:9">
      <c r="B47" s="95" t="s">
        <v>40</v>
      </c>
      <c r="C47" s="114">
        <f>C45/C43</f>
        <v>0.61683473310581716</v>
      </c>
      <c r="D47" s="114">
        <f>D45/D43</f>
        <v>0.53641342546907256</v>
      </c>
      <c r="E47" s="114">
        <f>E45/E43</f>
        <v>0.45436333139100632</v>
      </c>
      <c r="F47" s="114">
        <f>F45/F43</f>
        <v>0.39058684333282945</v>
      </c>
      <c r="G47" s="114">
        <f>G45/G43</f>
        <v>0.34153113306994359</v>
      </c>
      <c r="H47" s="114">
        <f t="shared" ref="H47:I47" si="6">H45/H43</f>
        <v>0.30042409749885346</v>
      </c>
      <c r="I47" s="114">
        <f t="shared" si="6"/>
        <v>0.27557763638579164</v>
      </c>
    </row>
    <row r="48" spans="2:9">
      <c r="B48" s="94"/>
      <c r="C48" s="94"/>
      <c r="D48" s="94"/>
      <c r="E48" s="94"/>
      <c r="F48" s="94"/>
      <c r="G48" s="94"/>
      <c r="H48" s="94"/>
      <c r="I48" s="94"/>
    </row>
    <row r="49" spans="2:10">
      <c r="B49" s="116" t="s">
        <v>98</v>
      </c>
      <c r="C49" s="117">
        <f>AVERAGE(C47:I47)</f>
        <v>0.41653302860761637</v>
      </c>
      <c r="D49" s="94"/>
      <c r="E49" s="94"/>
      <c r="F49" s="94"/>
      <c r="G49" s="94"/>
      <c r="H49" s="94"/>
      <c r="I49" s="94"/>
    </row>
    <row r="51" spans="2:10" ht="41.45" customHeight="1">
      <c r="B51" s="461" t="s">
        <v>388</v>
      </c>
      <c r="C51" s="461"/>
      <c r="D51" s="461"/>
      <c r="E51" s="461"/>
      <c r="F51" s="461"/>
      <c r="G51" s="461"/>
      <c r="H51" s="461"/>
      <c r="I51" s="461"/>
      <c r="J51" s="461"/>
    </row>
    <row r="54" spans="2:10" ht="18.75">
      <c r="B54" s="425" t="s">
        <v>524</v>
      </c>
      <c r="C54" s="425"/>
      <c r="D54" s="425"/>
      <c r="E54" s="425"/>
      <c r="F54" s="425"/>
      <c r="G54" s="425"/>
      <c r="H54" s="425"/>
      <c r="I54" s="425"/>
    </row>
    <row r="56" spans="2:10">
      <c r="B56" s="82" t="s">
        <v>29</v>
      </c>
      <c r="C56" s="83" t="s">
        <v>2</v>
      </c>
      <c r="D56" s="83" t="s">
        <v>3</v>
      </c>
      <c r="E56" s="83" t="s">
        <v>4</v>
      </c>
      <c r="F56" s="83" t="s">
        <v>5</v>
      </c>
      <c r="G56" s="83" t="s">
        <v>6</v>
      </c>
      <c r="H56" s="83" t="s">
        <v>134</v>
      </c>
      <c r="I56" s="83" t="s">
        <v>133</v>
      </c>
    </row>
    <row r="57" spans="2:10">
      <c r="B57" s="95"/>
      <c r="C57" s="95"/>
      <c r="D57" s="95"/>
      <c r="E57" s="95"/>
      <c r="F57" s="95"/>
      <c r="G57" s="95"/>
      <c r="H57" s="95"/>
      <c r="I57" s="95"/>
    </row>
    <row r="58" spans="2:10">
      <c r="B58" s="95" t="s">
        <v>335</v>
      </c>
      <c r="C58" s="341">
        <f>'6.Cons Profit &amp; Loss'!B51</f>
        <v>2463257.4389750073</v>
      </c>
      <c r="D58" s="341">
        <f>'6.Cons Profit &amp; Loss'!C51</f>
        <v>3807501.8129379391</v>
      </c>
      <c r="E58" s="341">
        <f>'6.Cons Profit &amp; Loss'!D51</f>
        <v>5546371.2062258413</v>
      </c>
      <c r="F58" s="341">
        <f>'6.Cons Profit &amp; Loss'!E51</f>
        <v>6955031.9831726756</v>
      </c>
      <c r="G58" s="341">
        <f>'6.Cons Profit &amp; Loss'!F51</f>
        <v>7919147.8476811843</v>
      </c>
      <c r="H58" s="341">
        <f>'6.Cons Profit &amp; Loss'!G51</f>
        <v>8760297.0367782079</v>
      </c>
      <c r="I58" s="341">
        <f>'6.Cons Profit &amp; Loss'!H51</f>
        <v>9270723.9103501346</v>
      </c>
    </row>
    <row r="59" spans="2:10">
      <c r="B59" s="95"/>
      <c r="C59" s="341"/>
      <c r="D59" s="341"/>
      <c r="E59" s="341"/>
      <c r="F59" s="341"/>
      <c r="G59" s="341"/>
      <c r="H59" s="341"/>
      <c r="I59" s="341"/>
    </row>
    <row r="60" spans="2:10">
      <c r="B60" s="95" t="s">
        <v>42</v>
      </c>
      <c r="C60" s="341">
        <f>'6.Cons Profit &amp; Loss'!B42</f>
        <v>6450931.9730000002</v>
      </c>
      <c r="D60" s="341">
        <f>'6.Cons Profit &amp; Loss'!C42</f>
        <v>5564059.4606999997</v>
      </c>
      <c r="E60" s="341">
        <f>'6.Cons Profit &amp; Loss'!D42</f>
        <v>4802141.0968800001</v>
      </c>
      <c r="F60" s="341">
        <f>'6.Cons Profit &amp; Loss'!E42</f>
        <v>4147241.4321044995</v>
      </c>
      <c r="G60" s="341">
        <f>'6.Cons Profit &amp; Loss'!F42</f>
        <v>3584034.5670696748</v>
      </c>
      <c r="H60" s="341">
        <f>'6.Cons Profit &amp; Loss'!G42</f>
        <v>3099420.7968119881</v>
      </c>
      <c r="I60" s="341">
        <f>'6.Cons Profit &amp; Loss'!H42</f>
        <v>2682199.9506126782</v>
      </c>
    </row>
    <row r="61" spans="2:10">
      <c r="B61" s="109" t="s">
        <v>48</v>
      </c>
      <c r="C61" s="341">
        <f>'6.Cons Profit &amp; Loss'!B43</f>
        <v>76720</v>
      </c>
      <c r="D61" s="341">
        <f>'6.Cons Profit &amp; Loss'!C43</f>
        <v>76720</v>
      </c>
      <c r="E61" s="341">
        <f>'6.Cons Profit &amp; Loss'!D43</f>
        <v>76720</v>
      </c>
      <c r="F61" s="341">
        <f>'6.Cons Profit &amp; Loss'!E43</f>
        <v>76720</v>
      </c>
      <c r="G61" s="341">
        <f>'6.Cons Profit &amp; Loss'!F43</f>
        <v>76720</v>
      </c>
      <c r="H61" s="341">
        <f>'6.Cons Profit &amp; Loss'!G43</f>
        <v>0</v>
      </c>
      <c r="I61" s="341">
        <f>'6.Cons Profit &amp; Loss'!H43</f>
        <v>0</v>
      </c>
    </row>
    <row r="62" spans="2:10">
      <c r="B62" s="95"/>
      <c r="C62" s="341"/>
      <c r="D62" s="341"/>
      <c r="E62" s="341"/>
      <c r="F62" s="341"/>
      <c r="G62" s="341"/>
      <c r="H62" s="341"/>
      <c r="I62" s="341"/>
    </row>
    <row r="63" spans="2:10">
      <c r="B63" s="95" t="s">
        <v>32</v>
      </c>
      <c r="C63" s="341">
        <f>SUM(C58:C61)</f>
        <v>8990909.4119750075</v>
      </c>
      <c r="D63" s="341">
        <f t="shared" ref="D63:I63" si="7">SUM(D58:D61)</f>
        <v>9448281.2736379392</v>
      </c>
      <c r="E63" s="341">
        <f t="shared" si="7"/>
        <v>10425232.303105842</v>
      </c>
      <c r="F63" s="341">
        <f t="shared" si="7"/>
        <v>11178993.415277176</v>
      </c>
      <c r="G63" s="341">
        <f t="shared" si="7"/>
        <v>11579902.414750859</v>
      </c>
      <c r="H63" s="341">
        <f t="shared" si="7"/>
        <v>11859717.833590196</v>
      </c>
      <c r="I63" s="341">
        <f t="shared" si="7"/>
        <v>11952923.860962812</v>
      </c>
    </row>
    <row r="64" spans="2:10">
      <c r="B64" s="95"/>
      <c r="C64" s="95"/>
      <c r="D64" s="95"/>
      <c r="E64" s="95"/>
      <c r="F64" s="95"/>
      <c r="G64" s="95"/>
      <c r="H64" s="95"/>
      <c r="I64" s="95"/>
    </row>
    <row r="65" spans="2:10" ht="16.5">
      <c r="B65" s="11" t="s">
        <v>43</v>
      </c>
      <c r="C65" s="110">
        <f>1/1.1</f>
        <v>0.90909090909090906</v>
      </c>
      <c r="D65" s="110">
        <f t="shared" ref="D65:I65" si="8">C65/1.1</f>
        <v>0.82644628099173545</v>
      </c>
      <c r="E65" s="110">
        <f t="shared" si="8"/>
        <v>0.75131480090157765</v>
      </c>
      <c r="F65" s="110">
        <f t="shared" si="8"/>
        <v>0.68301345536507052</v>
      </c>
      <c r="G65" s="110">
        <f t="shared" si="8"/>
        <v>0.62092132305915493</v>
      </c>
      <c r="H65" s="110">
        <f t="shared" si="8"/>
        <v>0.56447393005377711</v>
      </c>
      <c r="I65" s="110">
        <f t="shared" si="8"/>
        <v>0.51315811823070645</v>
      </c>
    </row>
    <row r="66" spans="2:10">
      <c r="B66" s="95"/>
      <c r="C66" s="95"/>
      <c r="D66" s="95"/>
      <c r="E66" s="95"/>
      <c r="F66" s="95"/>
      <c r="G66" s="95"/>
      <c r="H66" s="95"/>
      <c r="I66" s="95"/>
    </row>
    <row r="67" spans="2:10" ht="16.5">
      <c r="B67" s="11" t="s">
        <v>44</v>
      </c>
      <c r="C67" s="96">
        <f>C63*C65</f>
        <v>8173554.0108863702</v>
      </c>
      <c r="D67" s="96">
        <f t="shared" ref="D67:I67" si="9">D63*D65</f>
        <v>7808496.9203619324</v>
      </c>
      <c r="E67" s="96">
        <f t="shared" si="9"/>
        <v>7832631.3321606619</v>
      </c>
      <c r="F67" s="96">
        <f t="shared" si="9"/>
        <v>7635402.9200718347</v>
      </c>
      <c r="G67" s="96">
        <f t="shared" si="9"/>
        <v>7190208.3282630062</v>
      </c>
      <c r="H67" s="96">
        <f t="shared" si="9"/>
        <v>6694501.5348555259</v>
      </c>
      <c r="I67" s="96">
        <f t="shared" si="9"/>
        <v>6133739.9158465872</v>
      </c>
    </row>
    <row r="68" spans="2:10">
      <c r="B68" s="94"/>
      <c r="C68" s="112"/>
      <c r="D68" s="112"/>
      <c r="E68" s="112"/>
      <c r="F68" s="112"/>
      <c r="G68" s="112"/>
      <c r="H68" s="112"/>
      <c r="I68" s="112"/>
    </row>
    <row r="69" spans="2:10" ht="16.5">
      <c r="B69" s="12" t="s">
        <v>45</v>
      </c>
      <c r="C69" s="112">
        <f>SUM(C67:I67)</f>
        <v>51468534.962445915</v>
      </c>
      <c r="D69" s="112"/>
      <c r="E69" s="112"/>
      <c r="F69" s="112"/>
      <c r="G69" s="112"/>
      <c r="H69" s="112"/>
      <c r="I69" s="112"/>
    </row>
    <row r="70" spans="2:10">
      <c r="B70" s="94"/>
      <c r="C70" s="112"/>
      <c r="D70" s="112"/>
      <c r="E70" s="112"/>
      <c r="F70" s="112"/>
      <c r="G70" s="112"/>
      <c r="H70" s="112"/>
      <c r="I70" s="112"/>
    </row>
    <row r="71" spans="2:10" ht="16.5">
      <c r="B71" s="12" t="s">
        <v>46</v>
      </c>
      <c r="C71" s="112">
        <f>'1.Project Cost and MOF'!D12</f>
        <v>49995605.328047946</v>
      </c>
      <c r="D71" s="112"/>
      <c r="E71" s="112"/>
      <c r="F71" s="112"/>
      <c r="G71" s="112"/>
      <c r="H71" s="112"/>
      <c r="I71" s="112"/>
    </row>
    <row r="72" spans="2:10">
      <c r="B72" s="94"/>
      <c r="C72" s="111"/>
      <c r="D72" s="94"/>
      <c r="E72" s="94"/>
      <c r="F72" s="94"/>
      <c r="G72" s="94"/>
      <c r="H72" s="94"/>
      <c r="I72" s="94"/>
    </row>
    <row r="73" spans="2:10" ht="16.5">
      <c r="B73" s="12" t="s">
        <v>47</v>
      </c>
      <c r="C73" s="111">
        <f>C69-C71</f>
        <v>1472929.6343979686</v>
      </c>
      <c r="D73" s="94"/>
      <c r="E73" s="94"/>
      <c r="F73" s="94"/>
      <c r="G73" s="94"/>
      <c r="H73" s="94"/>
      <c r="I73" s="94"/>
    </row>
    <row r="75" spans="2:10" ht="35.1" customHeight="1">
      <c r="B75" s="432" t="s">
        <v>389</v>
      </c>
      <c r="C75" s="432"/>
      <c r="D75" s="432"/>
      <c r="E75" s="432"/>
      <c r="F75" s="432"/>
      <c r="G75" s="432"/>
      <c r="H75" s="432"/>
      <c r="I75" s="432"/>
      <c r="J75" s="432"/>
    </row>
    <row r="76" spans="2:10" ht="18.75">
      <c r="B76" s="425" t="s">
        <v>525</v>
      </c>
      <c r="C76" s="425"/>
      <c r="D76" s="425"/>
      <c r="E76" s="425"/>
      <c r="F76" s="425"/>
      <c r="G76" s="425"/>
      <c r="H76" s="425"/>
      <c r="I76" s="425"/>
    </row>
    <row r="77" spans="2:10">
      <c r="B77" s="94"/>
      <c r="C77" s="94"/>
      <c r="D77" s="94"/>
      <c r="E77" s="94"/>
      <c r="F77" s="94"/>
      <c r="G77" s="94"/>
      <c r="H77" s="94"/>
      <c r="I77" s="94"/>
    </row>
    <row r="78" spans="2:10" ht="15.75">
      <c r="B78" s="72" t="s">
        <v>0</v>
      </c>
      <c r="C78" s="72" t="s">
        <v>2</v>
      </c>
      <c r="D78" s="72" t="s">
        <v>3</v>
      </c>
      <c r="E78" s="72" t="s">
        <v>4</v>
      </c>
      <c r="F78" s="72" t="s">
        <v>5</v>
      </c>
      <c r="G78" s="72" t="s">
        <v>6</v>
      </c>
      <c r="H78" s="72" t="s">
        <v>134</v>
      </c>
      <c r="I78" s="72" t="s">
        <v>133</v>
      </c>
    </row>
    <row r="79" spans="2:10" ht="15.75">
      <c r="B79" s="69"/>
      <c r="C79" s="70"/>
      <c r="D79" s="70"/>
      <c r="E79" s="70"/>
      <c r="F79" s="70"/>
      <c r="G79" s="70"/>
      <c r="H79" s="70"/>
      <c r="I79" s="70"/>
    </row>
    <row r="80" spans="2:10">
      <c r="B80" s="97" t="s">
        <v>27</v>
      </c>
      <c r="C80" s="96">
        <f>'6.Cons Profit &amp; Loss'!B51</f>
        <v>2463257.4389750073</v>
      </c>
      <c r="D80" s="96">
        <f>'6.Cons Profit &amp; Loss'!C51</f>
        <v>3807501.8129379391</v>
      </c>
      <c r="E80" s="96">
        <f>'6.Cons Profit &amp; Loss'!D51</f>
        <v>5546371.2062258413</v>
      </c>
      <c r="F80" s="96">
        <f>'6.Cons Profit &amp; Loss'!E51</f>
        <v>6955031.9831726756</v>
      </c>
      <c r="G80" s="96">
        <f>'6.Cons Profit &amp; Loss'!F51</f>
        <v>7919147.8476811843</v>
      </c>
      <c r="H80" s="96">
        <f>'6.Cons Profit &amp; Loss'!G51</f>
        <v>8760297.0367782079</v>
      </c>
      <c r="I80" s="96">
        <f>'6.Cons Profit &amp; Loss'!H51</f>
        <v>9270723.9103501346</v>
      </c>
    </row>
    <row r="81" spans="2:10">
      <c r="B81" s="95"/>
      <c r="C81" s="95"/>
      <c r="D81" s="95"/>
      <c r="E81" s="95"/>
      <c r="F81" s="95"/>
      <c r="G81" s="95"/>
      <c r="H81" s="95"/>
      <c r="I81" s="95"/>
    </row>
    <row r="82" spans="2:10">
      <c r="B82" s="97" t="s">
        <v>88</v>
      </c>
      <c r="C82" s="469">
        <f>AVERAGE(C80:I80)</f>
        <v>6388904.4623029986</v>
      </c>
      <c r="D82" s="469"/>
      <c r="E82" s="469"/>
      <c r="F82" s="469"/>
      <c r="G82" s="469"/>
      <c r="H82" s="469"/>
      <c r="I82" s="469"/>
    </row>
    <row r="83" spans="2:10">
      <c r="B83" s="97" t="s">
        <v>89</v>
      </c>
      <c r="C83" s="469">
        <f>'1.Project Cost and MOF'!D12</f>
        <v>49995605.328047946</v>
      </c>
      <c r="D83" s="469"/>
      <c r="E83" s="469"/>
      <c r="F83" s="469"/>
      <c r="G83" s="469"/>
      <c r="H83" s="469"/>
      <c r="I83" s="469"/>
    </row>
    <row r="84" spans="2:10">
      <c r="B84" s="95"/>
      <c r="C84" s="95"/>
      <c r="D84" s="95"/>
      <c r="E84" s="95"/>
      <c r="F84" s="95"/>
      <c r="G84" s="95"/>
      <c r="H84" s="95"/>
      <c r="I84" s="95"/>
    </row>
    <row r="85" spans="2:10">
      <c r="B85" s="270" t="s">
        <v>90</v>
      </c>
      <c r="C85" s="470">
        <f>C82/C83</f>
        <v>0.12778932108896321</v>
      </c>
      <c r="D85" s="470"/>
      <c r="E85" s="470"/>
      <c r="F85" s="470"/>
      <c r="G85" s="470"/>
      <c r="H85" s="470"/>
      <c r="I85" s="470"/>
    </row>
    <row r="88" spans="2:10">
      <c r="B88" s="468" t="s">
        <v>390</v>
      </c>
      <c r="C88" s="468"/>
      <c r="D88" s="468"/>
      <c r="E88" s="468"/>
      <c r="F88" s="468"/>
      <c r="G88" s="468"/>
      <c r="H88" s="468"/>
      <c r="I88" s="468"/>
    </row>
    <row r="90" spans="2:10" ht="18.75">
      <c r="B90" s="425" t="s">
        <v>526</v>
      </c>
      <c r="C90" s="425"/>
      <c r="D90" s="425"/>
      <c r="E90" s="425"/>
      <c r="F90" s="425"/>
      <c r="G90" s="425"/>
      <c r="H90" s="425"/>
      <c r="I90" s="425"/>
      <c r="J90" s="425"/>
    </row>
    <row r="92" spans="2:10">
      <c r="B92" s="104" t="s">
        <v>0</v>
      </c>
      <c r="C92" s="104" t="s">
        <v>293</v>
      </c>
      <c r="D92" s="104" t="s">
        <v>2</v>
      </c>
      <c r="E92" s="104" t="s">
        <v>3</v>
      </c>
      <c r="F92" s="104" t="s">
        <v>4</v>
      </c>
      <c r="G92" s="104" t="s">
        <v>5</v>
      </c>
      <c r="H92" s="104" t="s">
        <v>6</v>
      </c>
      <c r="I92" s="104" t="s">
        <v>134</v>
      </c>
      <c r="J92" s="104" t="s">
        <v>133</v>
      </c>
    </row>
    <row r="93" spans="2:10">
      <c r="B93" s="105"/>
      <c r="C93" s="105"/>
      <c r="D93" s="106"/>
      <c r="E93" s="106"/>
      <c r="F93" s="106"/>
      <c r="G93" s="106"/>
      <c r="H93" s="106"/>
      <c r="I93" s="106"/>
      <c r="J93" s="106"/>
    </row>
    <row r="94" spans="2:10">
      <c r="B94" s="24" t="s">
        <v>236</v>
      </c>
      <c r="C94" s="107">
        <f>'1.Project Cost and MOF'!D12</f>
        <v>49995605.328047946</v>
      </c>
      <c r="D94" s="106"/>
      <c r="E94" s="106"/>
      <c r="F94" s="106"/>
      <c r="G94" s="106"/>
      <c r="H94" s="106"/>
      <c r="I94" s="106"/>
      <c r="J94" s="106"/>
    </row>
    <row r="95" spans="2:10">
      <c r="B95" s="25" t="str">
        <f>B58</f>
        <v>Profit after Tax &amp; Dividend</v>
      </c>
      <c r="C95" s="25"/>
      <c r="D95" s="26">
        <f>'6.Cons Profit &amp; Loss'!B51</f>
        <v>2463257.4389750073</v>
      </c>
      <c r="E95" s="26">
        <f>'6.Cons Profit &amp; Loss'!C51</f>
        <v>3807501.8129379391</v>
      </c>
      <c r="F95" s="26">
        <f>'6.Cons Profit &amp; Loss'!D51</f>
        <v>5546371.2062258413</v>
      </c>
      <c r="G95" s="26">
        <f>'6.Cons Profit &amp; Loss'!E51</f>
        <v>6955031.9831726756</v>
      </c>
      <c r="H95" s="26">
        <f>'6.Cons Profit &amp; Loss'!F51</f>
        <v>7919147.8476811843</v>
      </c>
      <c r="I95" s="26">
        <f>'6.Cons Profit &amp; Loss'!G51</f>
        <v>8760297.0367782079</v>
      </c>
      <c r="J95" s="26">
        <f>'6.Cons Profit &amp; Loss'!H51</f>
        <v>9270723.9103501346</v>
      </c>
    </row>
    <row r="96" spans="2:10">
      <c r="B96" s="25" t="str">
        <f>B60</f>
        <v>Add: Deprication</v>
      </c>
      <c r="C96" s="25"/>
      <c r="D96" s="92">
        <f>'6.Cons Profit &amp; Loss'!B42</f>
        <v>6450931.9730000002</v>
      </c>
      <c r="E96" s="92">
        <f>'6.Cons Profit &amp; Loss'!C42</f>
        <v>5564059.4606999997</v>
      </c>
      <c r="F96" s="92">
        <f>'6.Cons Profit &amp; Loss'!D42</f>
        <v>4802141.0968800001</v>
      </c>
      <c r="G96" s="92">
        <f>'6.Cons Profit &amp; Loss'!E42</f>
        <v>4147241.4321044995</v>
      </c>
      <c r="H96" s="92">
        <f>'6.Cons Profit &amp; Loss'!F42</f>
        <v>3584034.5670696748</v>
      </c>
      <c r="I96" s="92">
        <f>'6.Cons Profit &amp; Loss'!G42</f>
        <v>3099420.7968119881</v>
      </c>
      <c r="J96" s="92">
        <f>'6.Cons Profit &amp; Loss'!H42</f>
        <v>2682199.9506126782</v>
      </c>
    </row>
    <row r="97" spans="2:10">
      <c r="B97" s="25" t="str">
        <f>B61</f>
        <v>Add. Preliminary exp Written off</v>
      </c>
      <c r="C97" s="25"/>
      <c r="D97" s="92">
        <f>'6.Cons Profit &amp; Loss'!B43</f>
        <v>76720</v>
      </c>
      <c r="E97" s="92">
        <f>'6.Cons Profit &amp; Loss'!C43</f>
        <v>76720</v>
      </c>
      <c r="F97" s="92">
        <f>'6.Cons Profit &amp; Loss'!D43</f>
        <v>76720</v>
      </c>
      <c r="G97" s="92">
        <f>'6.Cons Profit &amp; Loss'!E43</f>
        <v>76720</v>
      </c>
      <c r="H97" s="92">
        <f>'6.Cons Profit &amp; Loss'!F43</f>
        <v>76720</v>
      </c>
      <c r="I97" s="92">
        <f>'6.Cons Profit &amp; Loss'!G43</f>
        <v>0</v>
      </c>
      <c r="J97" s="92">
        <f>'6.Cons Profit &amp; Loss'!H43</f>
        <v>0</v>
      </c>
    </row>
    <row r="98" spans="2:10">
      <c r="B98" s="25" t="str">
        <f>B63</f>
        <v xml:space="preserve">Net Cash Accrual (A)      </v>
      </c>
      <c r="C98" s="25"/>
      <c r="D98" s="269">
        <f>SUM(D95:D97)</f>
        <v>8990909.4119750075</v>
      </c>
      <c r="E98" s="269">
        <f t="shared" ref="E98:J98" si="10">SUM(E95:E97)</f>
        <v>9448281.2736379392</v>
      </c>
      <c r="F98" s="269">
        <f t="shared" si="10"/>
        <v>10425232.303105842</v>
      </c>
      <c r="G98" s="269">
        <f t="shared" si="10"/>
        <v>11178993.415277176</v>
      </c>
      <c r="H98" s="269">
        <f t="shared" si="10"/>
        <v>11579902.414750859</v>
      </c>
      <c r="I98" s="269">
        <f t="shared" si="10"/>
        <v>11859717.833590196</v>
      </c>
      <c r="J98" s="269">
        <f t="shared" si="10"/>
        <v>11952923.860962812</v>
      </c>
    </row>
    <row r="99" spans="2:10">
      <c r="B99" s="24" t="s">
        <v>237</v>
      </c>
      <c r="C99" s="108"/>
      <c r="D99" s="71">
        <f>D98-C94</f>
        <v>-41004695.916072935</v>
      </c>
      <c r="E99" s="71">
        <f>D99+E98</f>
        <v>-31556414.642434996</v>
      </c>
      <c r="F99" s="71">
        <f>E99+F98</f>
        <v>-21131182.339329153</v>
      </c>
      <c r="G99" s="71">
        <f>F99+G98</f>
        <v>-9952188.9240519777</v>
      </c>
      <c r="H99" s="71">
        <f>G99+H98</f>
        <v>1627713.4906988814</v>
      </c>
      <c r="I99" s="93"/>
      <c r="J99" s="93"/>
    </row>
    <row r="100" spans="2:10">
      <c r="B100" s="7"/>
      <c r="C100" s="7"/>
      <c r="D100" s="7"/>
      <c r="E100" s="7"/>
      <c r="F100" s="7"/>
      <c r="G100" s="7"/>
      <c r="H100" s="7"/>
      <c r="I100" s="7"/>
      <c r="J100" s="7"/>
    </row>
    <row r="101" spans="2:10">
      <c r="B101" s="27" t="s">
        <v>238</v>
      </c>
      <c r="C101" s="7"/>
      <c r="D101" s="64">
        <f>4+(-G99/H98)</f>
        <v>4.85943633785502</v>
      </c>
      <c r="E101" s="7"/>
      <c r="F101" s="7"/>
      <c r="G101" s="7"/>
      <c r="H101" s="7"/>
      <c r="I101" s="7"/>
      <c r="J101" s="7"/>
    </row>
    <row r="102" spans="2:10">
      <c r="B102" s="7"/>
      <c r="C102" s="7"/>
      <c r="D102" s="7"/>
      <c r="E102" s="7"/>
      <c r="F102" s="7"/>
      <c r="G102" s="7"/>
      <c r="H102" s="7"/>
      <c r="I102" s="7"/>
      <c r="J102" s="7"/>
    </row>
    <row r="103" spans="2:10">
      <c r="B103" s="468" t="s">
        <v>391</v>
      </c>
      <c r="C103" s="468"/>
      <c r="D103" s="468"/>
      <c r="E103" s="468"/>
      <c r="F103" s="468"/>
      <c r="G103" s="468"/>
      <c r="H103" s="468"/>
      <c r="I103" s="468"/>
      <c r="J103" s="468"/>
    </row>
    <row r="105" spans="2:10" ht="18.75">
      <c r="B105" s="425" t="s">
        <v>527</v>
      </c>
      <c r="C105" s="425"/>
      <c r="D105" s="425"/>
      <c r="E105" s="425"/>
      <c r="F105" s="425"/>
      <c r="G105" s="425"/>
      <c r="H105" s="425"/>
      <c r="I105" s="425"/>
    </row>
    <row r="107" spans="2:10" ht="15.75">
      <c r="B107" s="72" t="s">
        <v>0</v>
      </c>
      <c r="C107" s="72" t="s">
        <v>2</v>
      </c>
      <c r="D107" s="72" t="s">
        <v>3</v>
      </c>
      <c r="E107" s="72" t="s">
        <v>4</v>
      </c>
      <c r="F107" s="72" t="s">
        <v>5</v>
      </c>
      <c r="G107" s="72" t="s">
        <v>6</v>
      </c>
      <c r="H107" s="72" t="s">
        <v>134</v>
      </c>
      <c r="I107" s="72" t="s">
        <v>133</v>
      </c>
    </row>
    <row r="108" spans="2:10" ht="15.75">
      <c r="B108" s="69"/>
      <c r="C108" s="70"/>
      <c r="D108" s="70"/>
      <c r="E108" s="70"/>
      <c r="F108" s="70"/>
      <c r="G108" s="70"/>
      <c r="H108" s="70"/>
      <c r="I108" s="70"/>
    </row>
    <row r="109" spans="2:10">
      <c r="B109" s="95" t="s">
        <v>296</v>
      </c>
      <c r="C109" s="96">
        <f>'6.Cons Profit &amp; Loss'!B40</f>
        <v>11548307.751899999</v>
      </c>
      <c r="D109" s="96">
        <f>'6.Cons Profit &amp; Loss'!C40</f>
        <v>11926627.454356249</v>
      </c>
      <c r="E109" s="96">
        <f>'6.Cons Profit &amp; Loss'!D40</f>
        <v>12796308.739087123</v>
      </c>
      <c r="F109" s="96">
        <f>'6.Cons Profit &amp; Loss'!E40</f>
        <v>13622653.301256765</v>
      </c>
      <c r="G109" s="96">
        <f>'6.Cons Profit &amp; Loss'!F40</f>
        <v>14362305.712584788</v>
      </c>
      <c r="H109" s="96">
        <f>'6.Cons Profit &amp; Loss'!G40</f>
        <v>14937660.035701457</v>
      </c>
      <c r="I109" s="96">
        <f>'6.Cons Profit &amp; Loss'!H40</f>
        <v>15210205.234869618</v>
      </c>
    </row>
    <row r="110" spans="2:10">
      <c r="B110" s="95" t="s">
        <v>306</v>
      </c>
      <c r="C110" s="96"/>
      <c r="D110" s="96"/>
      <c r="E110" s="96"/>
      <c r="F110" s="96"/>
      <c r="G110" s="96"/>
      <c r="H110" s="96"/>
      <c r="I110" s="96"/>
    </row>
    <row r="111" spans="2:10">
      <c r="B111" s="95" t="s">
        <v>307</v>
      </c>
      <c r="C111" s="96"/>
      <c r="D111" s="96"/>
      <c r="E111" s="96"/>
      <c r="F111" s="96"/>
      <c r="G111" s="96"/>
      <c r="H111" s="96"/>
      <c r="I111" s="96"/>
    </row>
    <row r="112" spans="2:10">
      <c r="B112" s="95" t="s">
        <v>308</v>
      </c>
      <c r="C112" s="96"/>
      <c r="D112" s="96"/>
      <c r="E112" s="96"/>
      <c r="F112" s="96"/>
      <c r="G112" s="96"/>
      <c r="H112" s="96"/>
      <c r="I112" s="96"/>
    </row>
    <row r="113" spans="2:18">
      <c r="B113" s="97" t="s">
        <v>1</v>
      </c>
      <c r="C113" s="98">
        <f>SUM(C109:C112)</f>
        <v>11548307.751899999</v>
      </c>
      <c r="D113" s="98">
        <f t="shared" ref="D113:I113" si="11">SUM(D109:D112)</f>
        <v>11926627.454356249</v>
      </c>
      <c r="E113" s="98">
        <f t="shared" si="11"/>
        <v>12796308.739087123</v>
      </c>
      <c r="F113" s="98">
        <f t="shared" si="11"/>
        <v>13622653.301256765</v>
      </c>
      <c r="G113" s="98">
        <f t="shared" si="11"/>
        <v>14362305.712584788</v>
      </c>
      <c r="H113" s="98">
        <f t="shared" si="11"/>
        <v>14937660.035701457</v>
      </c>
      <c r="I113" s="98">
        <f t="shared" si="11"/>
        <v>15210205.234869618</v>
      </c>
    </row>
    <row r="114" spans="2:18">
      <c r="B114" s="95"/>
      <c r="C114" s="95"/>
      <c r="D114" s="95"/>
      <c r="E114" s="95"/>
      <c r="F114" s="95"/>
      <c r="G114" s="95"/>
      <c r="H114" s="95"/>
      <c r="I114" s="95"/>
    </row>
    <row r="115" spans="2:18">
      <c r="B115" s="99" t="s">
        <v>239</v>
      </c>
      <c r="C115" s="100">
        <f>'8.Cash Flow '!C26+'8.Cash Flow '!C27</f>
        <v>4279779.0657244623</v>
      </c>
      <c r="D115" s="100">
        <f>'8.Cash Flow '!D26+'8.Cash Flow '!D27</f>
        <v>6803683.3771689236</v>
      </c>
      <c r="E115" s="100">
        <f>'8.Cash Flow '!E26+'8.Cash Flow '!E27</f>
        <v>6803683.3771689245</v>
      </c>
      <c r="F115" s="100">
        <f>'8.Cash Flow '!F26+'8.Cash Flow '!F27</f>
        <v>0</v>
      </c>
      <c r="G115" s="100">
        <f>'8.Cash Flow '!G26+'8.Cash Flow '!G27</f>
        <v>0</v>
      </c>
      <c r="H115" s="100">
        <f>'8.Cash Flow '!H26+'8.Cash Flow '!H27</f>
        <v>0</v>
      </c>
      <c r="I115" s="100">
        <f>'8.Cash Flow '!I26+'8.Cash Flow '!I27</f>
        <v>0</v>
      </c>
    </row>
    <row r="116" spans="2:18">
      <c r="B116" s="95"/>
      <c r="C116" s="95"/>
      <c r="D116" s="95"/>
      <c r="E116" s="95"/>
      <c r="F116" s="95"/>
      <c r="G116" s="95"/>
      <c r="H116" s="95"/>
      <c r="I116" s="95"/>
    </row>
    <row r="117" spans="2:18">
      <c r="B117" s="101" t="s">
        <v>294</v>
      </c>
      <c r="C117" s="102">
        <f>C113/C115</f>
        <v>2.6983420346127498</v>
      </c>
      <c r="D117" s="102">
        <f t="shared" ref="D117:I117" si="12">D113/D115</f>
        <v>1.7529662674160229</v>
      </c>
      <c r="E117" s="102">
        <f t="shared" si="12"/>
        <v>1.880791334592026</v>
      </c>
      <c r="F117" s="102" t="e">
        <f t="shared" si="12"/>
        <v>#DIV/0!</v>
      </c>
      <c r="G117" s="102" t="e">
        <f t="shared" si="12"/>
        <v>#DIV/0!</v>
      </c>
      <c r="H117" s="102" t="e">
        <f t="shared" si="12"/>
        <v>#DIV/0!</v>
      </c>
      <c r="I117" s="102" t="e">
        <f t="shared" si="12"/>
        <v>#DIV/0!</v>
      </c>
      <c r="K117" s="401">
        <f>+SUM(C117:E117)/3</f>
        <v>2.1106998788735996</v>
      </c>
    </row>
    <row r="118" spans="2:18">
      <c r="B118" s="94"/>
      <c r="C118" s="94"/>
      <c r="D118" s="94"/>
      <c r="E118" s="94"/>
      <c r="F118" s="94"/>
      <c r="G118" s="94"/>
      <c r="H118" s="94"/>
      <c r="I118" s="94"/>
    </row>
    <row r="119" spans="2:18">
      <c r="B119" s="94" t="s">
        <v>295</v>
      </c>
      <c r="C119" s="103">
        <f>AVERAGE(C117:E117)</f>
        <v>2.1106998788735996</v>
      </c>
      <c r="D119" s="94"/>
      <c r="E119" s="94"/>
      <c r="F119" s="94"/>
      <c r="G119" s="94"/>
      <c r="H119" s="94"/>
      <c r="I119" s="94"/>
    </row>
    <row r="121" spans="2:18" ht="29.45" customHeight="1">
      <c r="B121" s="432" t="s">
        <v>392</v>
      </c>
      <c r="C121" s="432"/>
      <c r="D121" s="432"/>
      <c r="E121" s="432"/>
      <c r="F121" s="432"/>
      <c r="G121" s="432"/>
      <c r="H121" s="432"/>
      <c r="I121" s="432"/>
      <c r="J121" s="432"/>
    </row>
    <row r="123" spans="2:18" ht="21">
      <c r="B123" s="463" t="s">
        <v>528</v>
      </c>
      <c r="C123" s="464"/>
      <c r="D123" s="464"/>
      <c r="E123" s="464"/>
      <c r="F123" s="464"/>
      <c r="G123" s="464"/>
      <c r="H123" s="464"/>
      <c r="I123" s="464"/>
      <c r="K123" s="465"/>
      <c r="L123" s="465"/>
      <c r="M123" s="465"/>
      <c r="N123" s="465"/>
      <c r="O123" s="465"/>
      <c r="P123" s="465"/>
      <c r="Q123" s="465"/>
      <c r="R123" s="465"/>
    </row>
    <row r="124" spans="2:18">
      <c r="B124" s="82" t="s">
        <v>309</v>
      </c>
      <c r="C124" s="83" t="s">
        <v>2</v>
      </c>
      <c r="D124" s="83" t="s">
        <v>3</v>
      </c>
      <c r="E124" s="83" t="s">
        <v>4</v>
      </c>
      <c r="F124" s="83" t="s">
        <v>5</v>
      </c>
      <c r="G124" s="83" t="s">
        <v>6</v>
      </c>
      <c r="H124" s="83" t="s">
        <v>134</v>
      </c>
      <c r="I124" s="83" t="s">
        <v>133</v>
      </c>
    </row>
    <row r="125" spans="2:18">
      <c r="B125" s="74" t="str">
        <f>'6.Cons Profit &amp; Loss'!A8</f>
        <v>Faclitiy 1 - Cleaning &amp; Grading</v>
      </c>
      <c r="C125" s="338">
        <f>'6.Cons Profit &amp; Loss'!B8*(1+$M$126)</f>
        <v>0</v>
      </c>
      <c r="D125" s="338">
        <f>'6.Cons Profit &amp; Loss'!C8*(1+$M$126)</f>
        <v>0</v>
      </c>
      <c r="E125" s="338">
        <f>'6.Cons Profit &amp; Loss'!D8*(1+$M$126)</f>
        <v>0</v>
      </c>
      <c r="F125" s="338">
        <f>'6.Cons Profit &amp; Loss'!E8*(1+$M$126)</f>
        <v>0</v>
      </c>
      <c r="G125" s="338">
        <f>'6.Cons Profit &amp; Loss'!F8*(1+$M$126)</f>
        <v>0</v>
      </c>
      <c r="H125" s="338">
        <f>'6.Cons Profit &amp; Loss'!G8*(1+$M$126)</f>
        <v>0</v>
      </c>
      <c r="I125" s="338">
        <f>'6.Cons Profit &amp; Loss'!H8*(1+$M$126)</f>
        <v>0</v>
      </c>
    </row>
    <row r="126" spans="2:18">
      <c r="B126" s="74" t="str">
        <f>'6.Cons Profit &amp; Loss'!A9</f>
        <v>Faclitiy 2 - Processing Unit- Dal Mill</v>
      </c>
      <c r="C126" s="338">
        <f>'6.Cons Profit &amp; Loss'!B9*(1+$M$126)</f>
        <v>0</v>
      </c>
      <c r="D126" s="338">
        <f>'6.Cons Profit &amp; Loss'!C9*(1+$M$126)</f>
        <v>0</v>
      </c>
      <c r="E126" s="338">
        <f>'6.Cons Profit &amp; Loss'!D9*(1+$M$126)</f>
        <v>0</v>
      </c>
      <c r="F126" s="338">
        <f>'6.Cons Profit &amp; Loss'!E9*(1+$M$126)</f>
        <v>0</v>
      </c>
      <c r="G126" s="338">
        <f>'6.Cons Profit &amp; Loss'!F9*(1+$M$126)</f>
        <v>0</v>
      </c>
      <c r="H126" s="338">
        <f>'6.Cons Profit &amp; Loss'!G9*(1+$M$126)</f>
        <v>0</v>
      </c>
      <c r="I126" s="338">
        <f>'6.Cons Profit &amp; Loss'!H9*(1+$M$126)</f>
        <v>0</v>
      </c>
      <c r="L126" s="5" t="s">
        <v>330</v>
      </c>
      <c r="M126" s="278">
        <v>0.05</v>
      </c>
    </row>
    <row r="127" spans="2:18">
      <c r="B127" s="74" t="str">
        <f>'6.Cons Profit &amp; Loss'!A10</f>
        <v>Faclitiy 3 - Warehouse</v>
      </c>
      <c r="C127" s="338">
        <f>'6.Cons Profit &amp; Loss'!B10*(1+$M$126)</f>
        <v>0</v>
      </c>
      <c r="D127" s="338">
        <f>'6.Cons Profit &amp; Loss'!C10*(1+$M$126)</f>
        <v>0</v>
      </c>
      <c r="E127" s="338">
        <f>'6.Cons Profit &amp; Loss'!D10*(1+$M$126)</f>
        <v>0</v>
      </c>
      <c r="F127" s="338">
        <f>'6.Cons Profit &amp; Loss'!E10*(1+$M$126)</f>
        <v>0</v>
      </c>
      <c r="G127" s="338">
        <f>'6.Cons Profit &amp; Loss'!F10*(1+$M$126)</f>
        <v>0</v>
      </c>
      <c r="H127" s="338">
        <f>'6.Cons Profit &amp; Loss'!G10*(1+$M$126)</f>
        <v>0</v>
      </c>
      <c r="I127" s="338">
        <f>'6.Cons Profit &amp; Loss'!H10*(1+$M$126)</f>
        <v>0</v>
      </c>
      <c r="L127" s="5" t="s">
        <v>331</v>
      </c>
      <c r="M127" s="278">
        <v>0.05</v>
      </c>
    </row>
    <row r="128" spans="2:18">
      <c r="B128" s="74" t="str">
        <f>'6.Cons Profit &amp; Loss'!A11</f>
        <v xml:space="preserve">Faclitiy 4 - Custom Hiring </v>
      </c>
      <c r="C128" s="338">
        <f>'6.Cons Profit &amp; Loss'!B11*(1+$M$126)</f>
        <v>0</v>
      </c>
      <c r="D128" s="338">
        <f>'6.Cons Profit &amp; Loss'!C11*(1+$M$126)</f>
        <v>0</v>
      </c>
      <c r="E128" s="338">
        <f>'6.Cons Profit &amp; Loss'!D11*(1+$M$126)</f>
        <v>0</v>
      </c>
      <c r="F128" s="338">
        <f>'6.Cons Profit &amp; Loss'!E11*(1+$M$126)</f>
        <v>0</v>
      </c>
      <c r="G128" s="338">
        <f>'6.Cons Profit &amp; Loss'!F11*(1+$M$126)</f>
        <v>0</v>
      </c>
      <c r="H128" s="338">
        <f>'6.Cons Profit &amp; Loss'!G11*(1+$M$126)</f>
        <v>0</v>
      </c>
      <c r="I128" s="338">
        <f>'6.Cons Profit &amp; Loss'!H11*(1+$M$126)</f>
        <v>0</v>
      </c>
    </row>
    <row r="129" spans="2:9">
      <c r="B129" s="74" t="str">
        <f>'6.Cons Profit &amp; Loss'!A12</f>
        <v>Faclitiy 5 - Agri Input Centre</v>
      </c>
      <c r="C129" s="338">
        <f>'6.Cons Profit &amp; Loss'!B12*(1+$M$126)</f>
        <v>0</v>
      </c>
      <c r="D129" s="338">
        <f>'6.Cons Profit &amp; Loss'!C12*(1+$M$126)</f>
        <v>0</v>
      </c>
      <c r="E129" s="338">
        <f>'6.Cons Profit &amp; Loss'!D12*(1+$M$126)</f>
        <v>0</v>
      </c>
      <c r="F129" s="338">
        <f>'6.Cons Profit &amp; Loss'!E12*(1+$M$126)</f>
        <v>0</v>
      </c>
      <c r="G129" s="338">
        <f>'6.Cons Profit &amp; Loss'!F12*(1+$M$126)</f>
        <v>0</v>
      </c>
      <c r="H129" s="338">
        <f>'6.Cons Profit &amp; Loss'!G12*(1+$M$126)</f>
        <v>0</v>
      </c>
      <c r="I129" s="338">
        <f>'6.Cons Profit &amp; Loss'!H12*(1+$M$126)</f>
        <v>0</v>
      </c>
    </row>
    <row r="130" spans="2:9">
      <c r="B130" s="74" t="str">
        <f>'6.Cons Profit &amp; Loss'!A13</f>
        <v>Facility 1 - Food Processing Unit</v>
      </c>
      <c r="C130" s="338">
        <f>'6.Cons Profit &amp; Loss'!B13*(1+$M$126)</f>
        <v>24417227.142000001</v>
      </c>
      <c r="D130" s="338">
        <f>'6.Cons Profit &amp; Loss'!C13*(1+$M$126)</f>
        <v>26220772.328625005</v>
      </c>
      <c r="E130" s="338">
        <f>'6.Cons Profit &amp; Loss'!D13*(1+$M$126)</f>
        <v>28143628.966057498</v>
      </c>
      <c r="F130" s="338">
        <f>'6.Cons Profit &amp; Loss'!E13*(1+$M$126)</f>
        <v>30193219.3364117</v>
      </c>
      <c r="G130" s="338">
        <f>'6.Cons Profit &amp; Loss'!F13*(1+$M$126)</f>
        <v>32377409.67138616</v>
      </c>
      <c r="H130" s="338">
        <f>'6.Cons Profit &amp; Loss'!G13*(1+$M$126)</f>
        <v>34704535.991517052</v>
      </c>
      <c r="I130" s="338">
        <f>'6.Cons Profit &amp; Loss'!H13*(1+$M$126)</f>
        <v>37183431.419482544</v>
      </c>
    </row>
    <row r="131" spans="2:9">
      <c r="B131" s="74">
        <f>'6.Cons Profit &amp; Loss'!A14</f>
        <v>0</v>
      </c>
      <c r="C131" s="338">
        <f>'6.Cons Profit &amp; Loss'!B14*(1+$M$126)</f>
        <v>0</v>
      </c>
      <c r="D131" s="338">
        <f>'6.Cons Profit &amp; Loss'!C14*(1+$M$126)</f>
        <v>0</v>
      </c>
      <c r="E131" s="338">
        <f>'6.Cons Profit &amp; Loss'!D14*(1+$M$126)</f>
        <v>0</v>
      </c>
      <c r="F131" s="338">
        <f>'6.Cons Profit &amp; Loss'!E14*(1+$M$126)</f>
        <v>0</v>
      </c>
      <c r="G131" s="338">
        <f>'6.Cons Profit &amp; Loss'!F14*(1+$M$126)</f>
        <v>0</v>
      </c>
      <c r="H131" s="338">
        <f>'6.Cons Profit &amp; Loss'!G14*(1+$M$126)</f>
        <v>0</v>
      </c>
      <c r="I131" s="338">
        <f>'6.Cons Profit &amp; Loss'!H14*(1+$M$126)</f>
        <v>0</v>
      </c>
    </row>
    <row r="132" spans="2:9">
      <c r="B132" s="74" t="s">
        <v>310</v>
      </c>
      <c r="C132" s="338">
        <f>SUM(C125:C131)</f>
        <v>24417227.142000001</v>
      </c>
      <c r="D132" s="338">
        <f t="shared" ref="D132:I132" si="13">SUM(D125:D131)</f>
        <v>26220772.328625005</v>
      </c>
      <c r="E132" s="338">
        <f t="shared" si="13"/>
        <v>28143628.966057498</v>
      </c>
      <c r="F132" s="338">
        <f t="shared" si="13"/>
        <v>30193219.3364117</v>
      </c>
      <c r="G132" s="338">
        <f t="shared" si="13"/>
        <v>32377409.67138616</v>
      </c>
      <c r="H132" s="338">
        <f t="shared" si="13"/>
        <v>34704535.991517052</v>
      </c>
      <c r="I132" s="338">
        <f t="shared" si="13"/>
        <v>37183431.419482544</v>
      </c>
    </row>
    <row r="133" spans="2:9">
      <c r="B133" s="74" t="s">
        <v>311</v>
      </c>
      <c r="C133" s="338"/>
      <c r="D133" s="338"/>
      <c r="E133" s="338"/>
      <c r="F133" s="338"/>
      <c r="G133" s="338"/>
      <c r="H133" s="338"/>
      <c r="I133" s="338"/>
    </row>
    <row r="134" spans="2:9">
      <c r="B134" s="74" t="s">
        <v>312</v>
      </c>
      <c r="C134" s="338">
        <f>'6.Cons Profit &amp; Loss'!B36</f>
        <v>1554800</v>
      </c>
      <c r="D134" s="338">
        <f>'6.Cons Profit &amp; Loss'!C36</f>
        <v>1632540</v>
      </c>
      <c r="E134" s="338">
        <f>'6.Cons Profit &amp; Loss'!D36</f>
        <v>1714167</v>
      </c>
      <c r="F134" s="338">
        <f>'6.Cons Profit &amp; Loss'!E36</f>
        <v>1799875.3500000003</v>
      </c>
      <c r="G134" s="338">
        <f>'6.Cons Profit &amp; Loss'!F36</f>
        <v>1889869.1175000002</v>
      </c>
      <c r="H134" s="338">
        <f>'6.Cons Profit &amp; Loss'!G36</f>
        <v>1984362.5733750002</v>
      </c>
      <c r="I134" s="338">
        <f>'6.Cons Profit &amp; Loss'!H36</f>
        <v>2083580.7020437506</v>
      </c>
    </row>
    <row r="135" spans="2:9">
      <c r="B135" s="74" t="s">
        <v>266</v>
      </c>
      <c r="C135" s="338">
        <f>'6.Cons Profit &amp; Loss'!B25*(1+M126)</f>
        <v>10658964.002505001</v>
      </c>
      <c r="D135" s="338">
        <f>'6.Cons Profit &amp; Loss'!C25*(1+N126)</f>
        <v>11412996.668143753</v>
      </c>
      <c r="E135" s="338">
        <f>'6.Cons Profit &amp; Loss'!D25*(1+O126)</f>
        <v>12292980.419062875</v>
      </c>
      <c r="F135" s="338">
        <f>'6.Cons Profit &amp; Loss'!E25*(1+P126)</f>
        <v>13332918.335801994</v>
      </c>
      <c r="G135" s="338">
        <f>'6.Cons Profit &amp; Loss'!F25*(1+Q126)</f>
        <v>14583453.428378219</v>
      </c>
      <c r="H135" s="338">
        <f>'6.Cons Profit &amp; Loss'!G25*(1+R126)</f>
        <v>16129916.430463586</v>
      </c>
      <c r="I135" s="338">
        <f>'6.Cons Profit &amp; Loss'!H25*(1+S126)</f>
        <v>18119005.891165245</v>
      </c>
    </row>
    <row r="136" spans="2:9">
      <c r="B136" s="74" t="s">
        <v>313</v>
      </c>
      <c r="C136" s="338">
        <f t="shared" ref="C136:I136" si="14">SUM(C134:C135)</f>
        <v>12213764.002505001</v>
      </c>
      <c r="D136" s="338">
        <f t="shared" si="14"/>
        <v>13045536.668143753</v>
      </c>
      <c r="E136" s="338">
        <f t="shared" si="14"/>
        <v>14007147.419062875</v>
      </c>
      <c r="F136" s="338">
        <f t="shared" si="14"/>
        <v>15132793.685801994</v>
      </c>
      <c r="G136" s="338">
        <f t="shared" si="14"/>
        <v>16473322.545878218</v>
      </c>
      <c r="H136" s="338">
        <f t="shared" si="14"/>
        <v>18114279.003838588</v>
      </c>
      <c r="I136" s="338">
        <f t="shared" si="14"/>
        <v>20202586.593208995</v>
      </c>
    </row>
    <row r="137" spans="2:9">
      <c r="B137" s="77" t="s">
        <v>314</v>
      </c>
      <c r="C137" s="340">
        <f t="shared" ref="C137:I137" si="15">+C132-C136</f>
        <v>12203463.139495</v>
      </c>
      <c r="D137" s="340">
        <f t="shared" si="15"/>
        <v>13175235.660481252</v>
      </c>
      <c r="E137" s="340">
        <f t="shared" si="15"/>
        <v>14136481.546994623</v>
      </c>
      <c r="F137" s="340">
        <f t="shared" si="15"/>
        <v>15060425.650609706</v>
      </c>
      <c r="G137" s="340">
        <f t="shared" si="15"/>
        <v>15904087.125507941</v>
      </c>
      <c r="H137" s="340">
        <f t="shared" si="15"/>
        <v>16590256.987678465</v>
      </c>
      <c r="I137" s="340">
        <f t="shared" si="15"/>
        <v>16980844.826273549</v>
      </c>
    </row>
    <row r="138" spans="2:9">
      <c r="B138" s="79"/>
      <c r="C138" s="80"/>
      <c r="D138" s="80"/>
      <c r="E138" s="80"/>
      <c r="F138" s="80"/>
      <c r="G138" s="80"/>
      <c r="H138" s="80"/>
      <c r="I138" s="80"/>
    </row>
    <row r="139" spans="2:9">
      <c r="B139" s="82" t="s">
        <v>315</v>
      </c>
      <c r="C139" s="83" t="s">
        <v>2</v>
      </c>
      <c r="D139" s="83" t="s">
        <v>3</v>
      </c>
      <c r="E139" s="83" t="s">
        <v>4</v>
      </c>
      <c r="F139" s="83" t="s">
        <v>5</v>
      </c>
      <c r="G139" s="83" t="s">
        <v>6</v>
      </c>
      <c r="H139" s="83" t="s">
        <v>134</v>
      </c>
      <c r="I139" s="83" t="s">
        <v>133</v>
      </c>
    </row>
    <row r="140" spans="2:9">
      <c r="B140" s="74" t="str">
        <f t="shared" ref="B140:B146" si="16">B125</f>
        <v>Faclitiy 1 - Cleaning &amp; Grading</v>
      </c>
      <c r="C140" s="76">
        <f>'6.Cons Profit &amp; Loss'!B8</f>
        <v>0</v>
      </c>
      <c r="D140" s="76">
        <f>'6.Cons Profit &amp; Loss'!C8</f>
        <v>0</v>
      </c>
      <c r="E140" s="76">
        <f>'6.Cons Profit &amp; Loss'!D8</f>
        <v>0</v>
      </c>
      <c r="F140" s="76">
        <f>'6.Cons Profit &amp; Loss'!E8</f>
        <v>0</v>
      </c>
      <c r="G140" s="76">
        <f>'6.Cons Profit &amp; Loss'!F8</f>
        <v>0</v>
      </c>
      <c r="H140" s="76">
        <f>'6.Cons Profit &amp; Loss'!G8</f>
        <v>0</v>
      </c>
      <c r="I140" s="76">
        <f>'6.Cons Profit &amp; Loss'!H8</f>
        <v>0</v>
      </c>
    </row>
    <row r="141" spans="2:9">
      <c r="B141" s="74" t="str">
        <f t="shared" si="16"/>
        <v>Faclitiy 2 - Processing Unit- Dal Mill</v>
      </c>
      <c r="C141" s="76">
        <f>'6.Cons Profit &amp; Loss'!B9</f>
        <v>0</v>
      </c>
      <c r="D141" s="76">
        <f>'6.Cons Profit &amp; Loss'!C9</f>
        <v>0</v>
      </c>
      <c r="E141" s="76">
        <f>'6.Cons Profit &amp; Loss'!D9</f>
        <v>0</v>
      </c>
      <c r="F141" s="76">
        <f>'6.Cons Profit &amp; Loss'!E9</f>
        <v>0</v>
      </c>
      <c r="G141" s="76">
        <f>'6.Cons Profit &amp; Loss'!F9</f>
        <v>0</v>
      </c>
      <c r="H141" s="76">
        <f>'6.Cons Profit &amp; Loss'!G9</f>
        <v>0</v>
      </c>
      <c r="I141" s="76">
        <f>'6.Cons Profit &amp; Loss'!H9</f>
        <v>0</v>
      </c>
    </row>
    <row r="142" spans="2:9">
      <c r="B142" s="74" t="str">
        <f t="shared" si="16"/>
        <v>Faclitiy 3 - Warehouse</v>
      </c>
      <c r="C142" s="76">
        <f>'6.Cons Profit &amp; Loss'!B10</f>
        <v>0</v>
      </c>
      <c r="D142" s="76">
        <f>'6.Cons Profit &amp; Loss'!C10</f>
        <v>0</v>
      </c>
      <c r="E142" s="76">
        <f>'6.Cons Profit &amp; Loss'!D10</f>
        <v>0</v>
      </c>
      <c r="F142" s="76">
        <f>'6.Cons Profit &amp; Loss'!E10</f>
        <v>0</v>
      </c>
      <c r="G142" s="76">
        <f>'6.Cons Profit &amp; Loss'!F10</f>
        <v>0</v>
      </c>
      <c r="H142" s="76">
        <f>'6.Cons Profit &amp; Loss'!G10</f>
        <v>0</v>
      </c>
      <c r="I142" s="76">
        <f>'6.Cons Profit &amp; Loss'!H10</f>
        <v>0</v>
      </c>
    </row>
    <row r="143" spans="2:9">
      <c r="B143" s="74" t="str">
        <f t="shared" si="16"/>
        <v xml:space="preserve">Faclitiy 4 - Custom Hiring </v>
      </c>
      <c r="C143" s="76">
        <f>'6.Cons Profit &amp; Loss'!B11</f>
        <v>0</v>
      </c>
      <c r="D143" s="76">
        <f>'6.Cons Profit &amp; Loss'!C11</f>
        <v>0</v>
      </c>
      <c r="E143" s="76">
        <f>'6.Cons Profit &amp; Loss'!D11</f>
        <v>0</v>
      </c>
      <c r="F143" s="76">
        <f>'6.Cons Profit &amp; Loss'!E11</f>
        <v>0</v>
      </c>
      <c r="G143" s="76">
        <f>'6.Cons Profit &amp; Loss'!F11</f>
        <v>0</v>
      </c>
      <c r="H143" s="76">
        <f>'6.Cons Profit &amp; Loss'!G11</f>
        <v>0</v>
      </c>
      <c r="I143" s="76">
        <f>'6.Cons Profit &amp; Loss'!H11</f>
        <v>0</v>
      </c>
    </row>
    <row r="144" spans="2:9">
      <c r="B144" s="74" t="str">
        <f t="shared" si="16"/>
        <v>Faclitiy 5 - Agri Input Centre</v>
      </c>
      <c r="C144" s="76">
        <f>'6.Cons Profit &amp; Loss'!B12</f>
        <v>0</v>
      </c>
      <c r="D144" s="76">
        <f>'6.Cons Profit &amp; Loss'!C12</f>
        <v>0</v>
      </c>
      <c r="E144" s="76">
        <f>'6.Cons Profit &amp; Loss'!D12</f>
        <v>0</v>
      </c>
      <c r="F144" s="76">
        <f>'6.Cons Profit &amp; Loss'!E12</f>
        <v>0</v>
      </c>
      <c r="G144" s="76">
        <f>'6.Cons Profit &amp; Loss'!F12</f>
        <v>0</v>
      </c>
      <c r="H144" s="76">
        <f>'6.Cons Profit &amp; Loss'!G12</f>
        <v>0</v>
      </c>
      <c r="I144" s="76">
        <f>'6.Cons Profit &amp; Loss'!H12</f>
        <v>0</v>
      </c>
    </row>
    <row r="145" spans="2:15">
      <c r="B145" s="74" t="str">
        <f t="shared" si="16"/>
        <v>Facility 1 - Food Processing Unit</v>
      </c>
      <c r="C145" s="76">
        <f>'6.Cons Profit &amp; Loss'!B13</f>
        <v>23254502.039999999</v>
      </c>
      <c r="D145" s="76">
        <f>'6.Cons Profit &amp; Loss'!C13</f>
        <v>24972164.122500002</v>
      </c>
      <c r="E145" s="76">
        <f>'6.Cons Profit &amp; Loss'!D13</f>
        <v>26803456.158149999</v>
      </c>
      <c r="F145" s="76">
        <f>'6.Cons Profit &amp; Loss'!E13</f>
        <v>28755446.987058759</v>
      </c>
      <c r="G145" s="76">
        <f>'6.Cons Profit &amp; Loss'!F13</f>
        <v>30835628.258463006</v>
      </c>
      <c r="H145" s="76">
        <f>'6.Cons Profit &amp; Loss'!G13</f>
        <v>33051939.039540045</v>
      </c>
      <c r="I145" s="76">
        <f>'6.Cons Profit &amp; Loss'!H13</f>
        <v>35412791.828078613</v>
      </c>
    </row>
    <row r="146" spans="2:15">
      <c r="B146" s="74">
        <f t="shared" si="16"/>
        <v>0</v>
      </c>
      <c r="C146" s="76">
        <f>'6.Cons Profit &amp; Loss'!B14</f>
        <v>0</v>
      </c>
      <c r="D146" s="76">
        <f>'6.Cons Profit &amp; Loss'!C14</f>
        <v>0</v>
      </c>
      <c r="E146" s="76">
        <f>'6.Cons Profit &amp; Loss'!D14</f>
        <v>0</v>
      </c>
      <c r="F146" s="76">
        <f>'6.Cons Profit &amp; Loss'!E14</f>
        <v>0</v>
      </c>
      <c r="G146" s="76">
        <f>'6.Cons Profit &amp; Loss'!F14</f>
        <v>0</v>
      </c>
      <c r="H146" s="76">
        <f>'6.Cons Profit &amp; Loss'!G14</f>
        <v>0</v>
      </c>
      <c r="I146" s="76">
        <f>'6.Cons Profit &amp; Loss'!H14</f>
        <v>0</v>
      </c>
    </row>
    <row r="147" spans="2:15">
      <c r="B147" s="74" t="s">
        <v>310</v>
      </c>
      <c r="C147" s="76">
        <f>SUM(C140:C146)</f>
        <v>23254502.039999999</v>
      </c>
      <c r="D147" s="76">
        <f t="shared" ref="D147:I147" si="17">SUM(D140:D146)</f>
        <v>24972164.122500002</v>
      </c>
      <c r="E147" s="76">
        <f t="shared" si="17"/>
        <v>26803456.158149999</v>
      </c>
      <c r="F147" s="76">
        <f t="shared" si="17"/>
        <v>28755446.987058759</v>
      </c>
      <c r="G147" s="76">
        <f t="shared" si="17"/>
        <v>30835628.258463006</v>
      </c>
      <c r="H147" s="76">
        <f t="shared" si="17"/>
        <v>33051939.039540045</v>
      </c>
      <c r="I147" s="76">
        <f t="shared" si="17"/>
        <v>35412791.828078613</v>
      </c>
    </row>
    <row r="148" spans="2:15">
      <c r="B148" s="74" t="s">
        <v>311</v>
      </c>
      <c r="C148" s="81"/>
      <c r="D148" s="76"/>
      <c r="E148" s="76"/>
      <c r="F148" s="76"/>
      <c r="G148" s="76"/>
      <c r="H148" s="76"/>
      <c r="I148" s="76"/>
    </row>
    <row r="149" spans="2:15">
      <c r="B149" s="74" t="s">
        <v>312</v>
      </c>
      <c r="C149" s="75">
        <f>'6.Cons Profit &amp; Loss'!B36</f>
        <v>1554800</v>
      </c>
      <c r="D149" s="75">
        <f>'6.Cons Profit &amp; Loss'!C36</f>
        <v>1632540</v>
      </c>
      <c r="E149" s="75">
        <f>'6.Cons Profit &amp; Loss'!D36</f>
        <v>1714167</v>
      </c>
      <c r="F149" s="75">
        <f>'6.Cons Profit &amp; Loss'!E36</f>
        <v>1799875.3500000003</v>
      </c>
      <c r="G149" s="75">
        <f>'6.Cons Profit &amp; Loss'!F36</f>
        <v>1889869.1175000002</v>
      </c>
      <c r="H149" s="75">
        <f>'6.Cons Profit &amp; Loss'!G36</f>
        <v>1984362.5733750002</v>
      </c>
      <c r="I149" s="75">
        <f>'6.Cons Profit &amp; Loss'!H36</f>
        <v>2083580.7020437506</v>
      </c>
    </row>
    <row r="150" spans="2:15">
      <c r="B150" s="74" t="s">
        <v>266</v>
      </c>
      <c r="C150" s="75">
        <f>'6.Cons Profit &amp; Loss'!B25*(1+$M$127)</f>
        <v>10658964.002505001</v>
      </c>
      <c r="D150" s="75">
        <f>'6.Cons Profit &amp; Loss'!C25*(1+$M$127)</f>
        <v>11983646.501550941</v>
      </c>
      <c r="E150" s="75">
        <f>'6.Cons Profit &amp; Loss'!D25*(1+$M$127)</f>
        <v>12907629.44001602</v>
      </c>
      <c r="F150" s="75">
        <f>'6.Cons Profit &amp; Loss'!E25*(1+$M$127)</f>
        <v>13999564.252592094</v>
      </c>
      <c r="G150" s="75">
        <f>'6.Cons Profit &amp; Loss'!F25*(1+$M$127)</f>
        <v>15312626.09979713</v>
      </c>
      <c r="H150" s="75">
        <f>'6.Cons Profit &amp; Loss'!G25*(1+$M$127)</f>
        <v>16936412.251986764</v>
      </c>
      <c r="I150" s="75">
        <f>'6.Cons Profit &amp; Loss'!H25*(1+$M$127)</f>
        <v>19024956.18572351</v>
      </c>
    </row>
    <row r="151" spans="2:15">
      <c r="B151" s="74" t="s">
        <v>313</v>
      </c>
      <c r="C151" s="75">
        <f t="shared" ref="C151:I151" si="18">SUM(C149:C150)</f>
        <v>12213764.002505001</v>
      </c>
      <c r="D151" s="75">
        <f t="shared" si="18"/>
        <v>13616186.501550941</v>
      </c>
      <c r="E151" s="75">
        <f t="shared" si="18"/>
        <v>14621796.44001602</v>
      </c>
      <c r="F151" s="75">
        <f t="shared" si="18"/>
        <v>15799439.602592094</v>
      </c>
      <c r="G151" s="75">
        <f t="shared" si="18"/>
        <v>17202495.217297129</v>
      </c>
      <c r="H151" s="75">
        <f t="shared" si="18"/>
        <v>18920774.825361766</v>
      </c>
      <c r="I151" s="75">
        <f t="shared" si="18"/>
        <v>21108536.887767259</v>
      </c>
    </row>
    <row r="152" spans="2:15">
      <c r="B152" s="77" t="s">
        <v>314</v>
      </c>
      <c r="C152" s="78">
        <f t="shared" ref="C152:I152" si="19">+C147-C151</f>
        <v>11040738.037494998</v>
      </c>
      <c r="D152" s="78">
        <f t="shared" si="19"/>
        <v>11355977.620949062</v>
      </c>
      <c r="E152" s="78">
        <f t="shared" si="19"/>
        <v>12181659.718133979</v>
      </c>
      <c r="F152" s="78">
        <f t="shared" si="19"/>
        <v>12956007.384466665</v>
      </c>
      <c r="G152" s="78">
        <f t="shared" si="19"/>
        <v>13633133.041165877</v>
      </c>
      <c r="H152" s="78">
        <f t="shared" si="19"/>
        <v>14131164.214178279</v>
      </c>
      <c r="I152" s="78">
        <f t="shared" si="19"/>
        <v>14304254.940311354</v>
      </c>
      <c r="N152" s="4"/>
      <c r="O152" s="6"/>
    </row>
    <row r="153" spans="2:15">
      <c r="B153" s="79"/>
      <c r="C153" s="80"/>
      <c r="D153" s="80"/>
      <c r="E153" s="80"/>
      <c r="F153" s="80"/>
      <c r="G153" s="80"/>
      <c r="H153" s="80"/>
      <c r="I153" s="80"/>
    </row>
    <row r="154" spans="2:15">
      <c r="B154" s="82" t="s">
        <v>316</v>
      </c>
      <c r="C154" s="83" t="s">
        <v>2</v>
      </c>
      <c r="D154" s="83" t="s">
        <v>3</v>
      </c>
      <c r="E154" s="83" t="s">
        <v>4</v>
      </c>
      <c r="F154" s="83" t="s">
        <v>5</v>
      </c>
      <c r="G154" s="83" t="s">
        <v>6</v>
      </c>
      <c r="H154" s="83" t="s">
        <v>134</v>
      </c>
      <c r="I154" s="83" t="s">
        <v>133</v>
      </c>
    </row>
    <row r="155" spans="2:15">
      <c r="B155" s="74" t="str">
        <f t="shared" ref="B155:B161" si="20">B140</f>
        <v>Faclitiy 1 - Cleaning &amp; Grading</v>
      </c>
      <c r="C155" s="338">
        <f>'6.Cons Profit &amp; Loss'!B8*(1-$M$126)</f>
        <v>0</v>
      </c>
      <c r="D155" s="338">
        <f>'6.Cons Profit &amp; Loss'!C8*(1-$M$126)</f>
        <v>0</v>
      </c>
      <c r="E155" s="338">
        <f>'6.Cons Profit &amp; Loss'!D8*(1-$M$126)</f>
        <v>0</v>
      </c>
      <c r="F155" s="338">
        <f>'6.Cons Profit &amp; Loss'!E8*(1-$M$126)</f>
        <v>0</v>
      </c>
      <c r="G155" s="338">
        <f>'6.Cons Profit &amp; Loss'!F8*(1-$M$126)</f>
        <v>0</v>
      </c>
      <c r="H155" s="338">
        <f>'6.Cons Profit &amp; Loss'!G8*(1-$M$126)</f>
        <v>0</v>
      </c>
      <c r="I155" s="338">
        <f>'6.Cons Profit &amp; Loss'!H8*(1-$M$126)</f>
        <v>0</v>
      </c>
    </row>
    <row r="156" spans="2:15">
      <c r="B156" s="74" t="str">
        <f t="shared" si="20"/>
        <v>Faclitiy 2 - Processing Unit- Dal Mill</v>
      </c>
      <c r="C156" s="338">
        <f>'6.Cons Profit &amp; Loss'!B9*(1-$M$126)</f>
        <v>0</v>
      </c>
      <c r="D156" s="338">
        <f>'6.Cons Profit &amp; Loss'!C9*(1-$M$126)</f>
        <v>0</v>
      </c>
      <c r="E156" s="338">
        <f>'6.Cons Profit &amp; Loss'!D9*(1-$M$126)</f>
        <v>0</v>
      </c>
      <c r="F156" s="338">
        <f>'6.Cons Profit &amp; Loss'!E9*(1-$M$126)</f>
        <v>0</v>
      </c>
      <c r="G156" s="338">
        <f>'6.Cons Profit &amp; Loss'!F9*(1-$M$126)</f>
        <v>0</v>
      </c>
      <c r="H156" s="338">
        <f>'6.Cons Profit &amp; Loss'!G9*(1-$M$126)</f>
        <v>0</v>
      </c>
      <c r="I156" s="338">
        <f>'6.Cons Profit &amp; Loss'!H9*(1-$M$126)</f>
        <v>0</v>
      </c>
    </row>
    <row r="157" spans="2:15">
      <c r="B157" s="74" t="str">
        <f t="shared" si="20"/>
        <v>Faclitiy 3 - Warehouse</v>
      </c>
      <c r="C157" s="338">
        <f>'6.Cons Profit &amp; Loss'!B10*(1-$M$126)</f>
        <v>0</v>
      </c>
      <c r="D157" s="338">
        <f>'6.Cons Profit &amp; Loss'!C10*(1-$M$126)</f>
        <v>0</v>
      </c>
      <c r="E157" s="338">
        <f>'6.Cons Profit &amp; Loss'!D10*(1-$M$126)</f>
        <v>0</v>
      </c>
      <c r="F157" s="338">
        <f>'6.Cons Profit &amp; Loss'!E10*(1-$M$126)</f>
        <v>0</v>
      </c>
      <c r="G157" s="338">
        <f>'6.Cons Profit &amp; Loss'!F10*(1-$M$126)</f>
        <v>0</v>
      </c>
      <c r="H157" s="338">
        <f>'6.Cons Profit &amp; Loss'!G10*(1-$M$126)</f>
        <v>0</v>
      </c>
      <c r="I157" s="338">
        <f>'6.Cons Profit &amp; Loss'!H10*(1-$M$126)</f>
        <v>0</v>
      </c>
    </row>
    <row r="158" spans="2:15">
      <c r="B158" s="74" t="str">
        <f t="shared" si="20"/>
        <v xml:space="preserve">Faclitiy 4 - Custom Hiring </v>
      </c>
      <c r="C158" s="338">
        <f>'6.Cons Profit &amp; Loss'!B11*(1-$M$126)</f>
        <v>0</v>
      </c>
      <c r="D158" s="338">
        <f>'6.Cons Profit &amp; Loss'!C11*(1-$M$126)</f>
        <v>0</v>
      </c>
      <c r="E158" s="338">
        <f>'6.Cons Profit &amp; Loss'!D11*(1-$M$126)</f>
        <v>0</v>
      </c>
      <c r="F158" s="338">
        <f>'6.Cons Profit &amp; Loss'!E11*(1-$M$126)</f>
        <v>0</v>
      </c>
      <c r="G158" s="338">
        <f>'6.Cons Profit &amp; Loss'!F11*(1-$M$126)</f>
        <v>0</v>
      </c>
      <c r="H158" s="338">
        <f>'6.Cons Profit &amp; Loss'!G11*(1-$M$126)</f>
        <v>0</v>
      </c>
      <c r="I158" s="338">
        <f>'6.Cons Profit &amp; Loss'!H11*(1-$M$126)</f>
        <v>0</v>
      </c>
    </row>
    <row r="159" spans="2:15">
      <c r="B159" s="74" t="str">
        <f t="shared" si="20"/>
        <v>Faclitiy 5 - Agri Input Centre</v>
      </c>
      <c r="C159" s="338">
        <f>'6.Cons Profit &amp; Loss'!B12*(1-$M$126)</f>
        <v>0</v>
      </c>
      <c r="D159" s="338">
        <f>'6.Cons Profit &amp; Loss'!C12*(1-$M$126)</f>
        <v>0</v>
      </c>
      <c r="E159" s="338">
        <f>'6.Cons Profit &amp; Loss'!D12*(1-$M$126)</f>
        <v>0</v>
      </c>
      <c r="F159" s="338">
        <f>'6.Cons Profit &amp; Loss'!E12*(1-$M$126)</f>
        <v>0</v>
      </c>
      <c r="G159" s="338">
        <f>'6.Cons Profit &amp; Loss'!F12*(1-$M$126)</f>
        <v>0</v>
      </c>
      <c r="H159" s="338">
        <f>'6.Cons Profit &amp; Loss'!G12*(1-$M$126)</f>
        <v>0</v>
      </c>
      <c r="I159" s="338">
        <f>'6.Cons Profit &amp; Loss'!H12*(1-$M$126)</f>
        <v>0</v>
      </c>
    </row>
    <row r="160" spans="2:15">
      <c r="B160" s="74" t="str">
        <f t="shared" si="20"/>
        <v>Facility 1 - Food Processing Unit</v>
      </c>
      <c r="C160" s="338">
        <f>'6.Cons Profit &amp; Loss'!B13*(1-$M$126)</f>
        <v>22091776.937999997</v>
      </c>
      <c r="D160" s="338">
        <f>'6.Cons Profit &amp; Loss'!C13*(1-$M$126)</f>
        <v>23723555.916375</v>
      </c>
      <c r="E160" s="338">
        <f>'6.Cons Profit &amp; Loss'!D13*(1-$M$126)</f>
        <v>25463283.350242499</v>
      </c>
      <c r="F160" s="338">
        <f>'6.Cons Profit &amp; Loss'!E13*(1-$M$126)</f>
        <v>27317674.637705818</v>
      </c>
      <c r="G160" s="338">
        <f>'6.Cons Profit &amp; Loss'!F13*(1-$M$126)</f>
        <v>29293846.845539853</v>
      </c>
      <c r="H160" s="338">
        <f>'6.Cons Profit &amp; Loss'!G13*(1-$M$126)</f>
        <v>31399342.087563042</v>
      </c>
      <c r="I160" s="338">
        <f>'6.Cons Profit &amp; Loss'!H13*(1-$M$126)</f>
        <v>33642152.236674681</v>
      </c>
    </row>
    <row r="161" spans="2:9">
      <c r="B161" s="74">
        <f t="shared" si="20"/>
        <v>0</v>
      </c>
      <c r="C161" s="338">
        <f>'6.Cons Profit &amp; Loss'!B14*(1-$M$126)</f>
        <v>0</v>
      </c>
      <c r="D161" s="338">
        <f>'6.Cons Profit &amp; Loss'!C14*(1-$M$126)</f>
        <v>0</v>
      </c>
      <c r="E161" s="338">
        <f>'6.Cons Profit &amp; Loss'!D14*(1-$M$126)</f>
        <v>0</v>
      </c>
      <c r="F161" s="338">
        <f>'6.Cons Profit &amp; Loss'!E14*(1-$M$126)</f>
        <v>0</v>
      </c>
      <c r="G161" s="338">
        <f>'6.Cons Profit &amp; Loss'!F14*(1-$M$126)</f>
        <v>0</v>
      </c>
      <c r="H161" s="338">
        <f>'6.Cons Profit &amp; Loss'!G14*(1-$M$126)</f>
        <v>0</v>
      </c>
      <c r="I161" s="338">
        <f>'6.Cons Profit &amp; Loss'!H14*(1-$M$126)</f>
        <v>0</v>
      </c>
    </row>
    <row r="162" spans="2:9">
      <c r="B162" s="74" t="s">
        <v>310</v>
      </c>
      <c r="C162" s="338">
        <f>SUM(C155:C161)</f>
        <v>22091776.937999997</v>
      </c>
      <c r="D162" s="338">
        <f t="shared" ref="D162:I162" si="21">SUM(D155:D161)</f>
        <v>23723555.916375</v>
      </c>
      <c r="E162" s="338">
        <f t="shared" si="21"/>
        <v>25463283.350242499</v>
      </c>
      <c r="F162" s="338">
        <f t="shared" si="21"/>
        <v>27317674.637705818</v>
      </c>
      <c r="G162" s="338">
        <f t="shared" si="21"/>
        <v>29293846.845539853</v>
      </c>
      <c r="H162" s="338">
        <f t="shared" si="21"/>
        <v>31399342.087563042</v>
      </c>
      <c r="I162" s="338">
        <f t="shared" si="21"/>
        <v>33642152.236674681</v>
      </c>
    </row>
    <row r="163" spans="2:9">
      <c r="B163" s="74" t="s">
        <v>311</v>
      </c>
      <c r="C163" s="338"/>
      <c r="D163" s="338"/>
      <c r="E163" s="338"/>
      <c r="F163" s="338"/>
      <c r="G163" s="338"/>
      <c r="H163" s="338"/>
      <c r="I163" s="338"/>
    </row>
    <row r="164" spans="2:9">
      <c r="B164" s="74" t="s">
        <v>312</v>
      </c>
      <c r="C164" s="338">
        <f>'6.Cons Profit &amp; Loss'!B36</f>
        <v>1554800</v>
      </c>
      <c r="D164" s="338">
        <f>'6.Cons Profit &amp; Loss'!C36</f>
        <v>1632540</v>
      </c>
      <c r="E164" s="338">
        <f>'6.Cons Profit &amp; Loss'!D36</f>
        <v>1714167</v>
      </c>
      <c r="F164" s="338">
        <f>'6.Cons Profit &amp; Loss'!E36</f>
        <v>1799875.3500000003</v>
      </c>
      <c r="G164" s="338">
        <f>'6.Cons Profit &amp; Loss'!F36</f>
        <v>1889869.1175000002</v>
      </c>
      <c r="H164" s="338">
        <f>'6.Cons Profit &amp; Loss'!G36</f>
        <v>1984362.5733750002</v>
      </c>
      <c r="I164" s="338">
        <f>'6.Cons Profit &amp; Loss'!H36</f>
        <v>2083580.7020437506</v>
      </c>
    </row>
    <row r="165" spans="2:9">
      <c r="B165" s="74" t="s">
        <v>266</v>
      </c>
      <c r="C165" s="338">
        <f>'6.Cons Profit &amp; Loss'!B25*(1-$M$126)</f>
        <v>9643824.5736950003</v>
      </c>
      <c r="D165" s="338">
        <f>'6.Cons Profit &amp; Loss'!C25*(1-$M$126)</f>
        <v>10842346.834736565</v>
      </c>
      <c r="E165" s="338">
        <f>'6.Cons Profit &amp; Loss'!D25*(1-$M$126)</f>
        <v>11678331.39810973</v>
      </c>
      <c r="F165" s="338">
        <f>'6.Cons Profit &amp; Loss'!E25*(1-$M$126)</f>
        <v>12666272.419011895</v>
      </c>
      <c r="G165" s="338">
        <f>'6.Cons Profit &amp; Loss'!F25*(1-$M$126)</f>
        <v>13854280.756959308</v>
      </c>
      <c r="H165" s="338">
        <f>'6.Cons Profit &amp; Loss'!G25*(1-$M$126)</f>
        <v>15323420.608940406</v>
      </c>
      <c r="I165" s="338">
        <f>'6.Cons Profit &amp; Loss'!H25*(1-$M$126)</f>
        <v>17213055.596606981</v>
      </c>
    </row>
    <row r="166" spans="2:9">
      <c r="B166" s="74" t="s">
        <v>313</v>
      </c>
      <c r="C166" s="338">
        <f t="shared" ref="C166:I166" si="22">SUM(C164:C165)</f>
        <v>11198624.573695</v>
      </c>
      <c r="D166" s="338">
        <f t="shared" si="22"/>
        <v>12474886.834736565</v>
      </c>
      <c r="E166" s="338">
        <f t="shared" si="22"/>
        <v>13392498.39810973</v>
      </c>
      <c r="F166" s="338">
        <f t="shared" si="22"/>
        <v>14466147.769011894</v>
      </c>
      <c r="G166" s="338">
        <f t="shared" si="22"/>
        <v>15744149.874459308</v>
      </c>
      <c r="H166" s="338">
        <f t="shared" si="22"/>
        <v>17307783.182315405</v>
      </c>
      <c r="I166" s="338">
        <f t="shared" si="22"/>
        <v>19296636.29865073</v>
      </c>
    </row>
    <row r="167" spans="2:9">
      <c r="B167" s="77" t="s">
        <v>314</v>
      </c>
      <c r="C167" s="340">
        <f t="shared" ref="C167:I167" si="23">+C162-C166</f>
        <v>10893152.364304997</v>
      </c>
      <c r="D167" s="340">
        <f t="shared" si="23"/>
        <v>11248669.081638435</v>
      </c>
      <c r="E167" s="340">
        <f t="shared" si="23"/>
        <v>12070784.952132769</v>
      </c>
      <c r="F167" s="340">
        <f t="shared" si="23"/>
        <v>12851526.868693924</v>
      </c>
      <c r="G167" s="340">
        <f t="shared" si="23"/>
        <v>13549696.971080545</v>
      </c>
      <c r="H167" s="340">
        <f t="shared" si="23"/>
        <v>14091558.905247636</v>
      </c>
      <c r="I167" s="340">
        <f t="shared" si="23"/>
        <v>14345515.938023951</v>
      </c>
    </row>
    <row r="168" spans="2:9">
      <c r="B168" s="13"/>
      <c r="C168" s="80"/>
      <c r="D168" s="80"/>
      <c r="E168" s="80"/>
      <c r="F168" s="80"/>
      <c r="G168" s="80"/>
      <c r="H168" s="80"/>
      <c r="I168" s="80"/>
    </row>
    <row r="169" spans="2:9">
      <c r="B169" s="82" t="s">
        <v>317</v>
      </c>
      <c r="C169" s="83" t="s">
        <v>2</v>
      </c>
      <c r="D169" s="83" t="s">
        <v>3</v>
      </c>
      <c r="E169" s="83" t="s">
        <v>4</v>
      </c>
      <c r="F169" s="83" t="s">
        <v>5</v>
      </c>
      <c r="G169" s="83" t="s">
        <v>6</v>
      </c>
      <c r="H169" s="83" t="s">
        <v>134</v>
      </c>
      <c r="I169" s="83" t="s">
        <v>133</v>
      </c>
    </row>
    <row r="170" spans="2:9">
      <c r="B170" s="74" t="str">
        <f t="shared" ref="B170:B176" si="24">B155</f>
        <v>Faclitiy 1 - Cleaning &amp; Grading</v>
      </c>
      <c r="C170" s="76">
        <f>'6.Cons Profit &amp; Loss'!B8</f>
        <v>0</v>
      </c>
      <c r="D170" s="76">
        <f>'6.Cons Profit &amp; Loss'!C8</f>
        <v>0</v>
      </c>
      <c r="E170" s="76">
        <f>'6.Cons Profit &amp; Loss'!D8</f>
        <v>0</v>
      </c>
      <c r="F170" s="76">
        <f>'6.Cons Profit &amp; Loss'!E8</f>
        <v>0</v>
      </c>
      <c r="G170" s="76">
        <f>'6.Cons Profit &amp; Loss'!F8</f>
        <v>0</v>
      </c>
      <c r="H170" s="76">
        <f>'6.Cons Profit &amp; Loss'!G8</f>
        <v>0</v>
      </c>
      <c r="I170" s="76">
        <f>'6.Cons Profit &amp; Loss'!H8</f>
        <v>0</v>
      </c>
    </row>
    <row r="171" spans="2:9">
      <c r="B171" s="74" t="str">
        <f t="shared" si="24"/>
        <v>Faclitiy 2 - Processing Unit- Dal Mill</v>
      </c>
      <c r="C171" s="76">
        <f>'6.Cons Profit &amp; Loss'!B9</f>
        <v>0</v>
      </c>
      <c r="D171" s="76">
        <f>'6.Cons Profit &amp; Loss'!C9</f>
        <v>0</v>
      </c>
      <c r="E171" s="76">
        <f>'6.Cons Profit &amp; Loss'!D9</f>
        <v>0</v>
      </c>
      <c r="F171" s="76">
        <f>'6.Cons Profit &amp; Loss'!E9</f>
        <v>0</v>
      </c>
      <c r="G171" s="76">
        <f>'6.Cons Profit &amp; Loss'!F9</f>
        <v>0</v>
      </c>
      <c r="H171" s="76">
        <f>'6.Cons Profit &amp; Loss'!G9</f>
        <v>0</v>
      </c>
      <c r="I171" s="76">
        <f>'6.Cons Profit &amp; Loss'!H9</f>
        <v>0</v>
      </c>
    </row>
    <row r="172" spans="2:9">
      <c r="B172" s="74" t="str">
        <f t="shared" si="24"/>
        <v>Faclitiy 3 - Warehouse</v>
      </c>
      <c r="C172" s="76">
        <f>'6.Cons Profit &amp; Loss'!B10</f>
        <v>0</v>
      </c>
      <c r="D172" s="76">
        <f>'6.Cons Profit &amp; Loss'!C10</f>
        <v>0</v>
      </c>
      <c r="E172" s="76">
        <f>'6.Cons Profit &amp; Loss'!D10</f>
        <v>0</v>
      </c>
      <c r="F172" s="76">
        <f>'6.Cons Profit &amp; Loss'!E10</f>
        <v>0</v>
      </c>
      <c r="G172" s="76">
        <f>'6.Cons Profit &amp; Loss'!F10</f>
        <v>0</v>
      </c>
      <c r="H172" s="76">
        <f>'6.Cons Profit &amp; Loss'!G10</f>
        <v>0</v>
      </c>
      <c r="I172" s="76">
        <f>'6.Cons Profit &amp; Loss'!H10</f>
        <v>0</v>
      </c>
    </row>
    <row r="173" spans="2:9">
      <c r="B173" s="74" t="str">
        <f t="shared" si="24"/>
        <v xml:space="preserve">Faclitiy 4 - Custom Hiring </v>
      </c>
      <c r="C173" s="76">
        <f>'6.Cons Profit &amp; Loss'!B11</f>
        <v>0</v>
      </c>
      <c r="D173" s="76">
        <f>'6.Cons Profit &amp; Loss'!C11</f>
        <v>0</v>
      </c>
      <c r="E173" s="76">
        <f>'6.Cons Profit &amp; Loss'!D11</f>
        <v>0</v>
      </c>
      <c r="F173" s="76">
        <f>'6.Cons Profit &amp; Loss'!E11</f>
        <v>0</v>
      </c>
      <c r="G173" s="76">
        <f>'6.Cons Profit &amp; Loss'!F11</f>
        <v>0</v>
      </c>
      <c r="H173" s="76">
        <f>'6.Cons Profit &amp; Loss'!G11</f>
        <v>0</v>
      </c>
      <c r="I173" s="76">
        <f>'6.Cons Profit &amp; Loss'!H11</f>
        <v>0</v>
      </c>
    </row>
    <row r="174" spans="2:9">
      <c r="B174" s="74" t="str">
        <f t="shared" si="24"/>
        <v>Faclitiy 5 - Agri Input Centre</v>
      </c>
      <c r="C174" s="76">
        <f>'6.Cons Profit &amp; Loss'!B12</f>
        <v>0</v>
      </c>
      <c r="D174" s="76">
        <f>'6.Cons Profit &amp; Loss'!C12</f>
        <v>0</v>
      </c>
      <c r="E174" s="76">
        <f>'6.Cons Profit &amp; Loss'!D12</f>
        <v>0</v>
      </c>
      <c r="F174" s="76">
        <f>'6.Cons Profit &amp; Loss'!E12</f>
        <v>0</v>
      </c>
      <c r="G174" s="76">
        <f>'6.Cons Profit &amp; Loss'!F12</f>
        <v>0</v>
      </c>
      <c r="H174" s="76">
        <f>'6.Cons Profit &amp; Loss'!G12</f>
        <v>0</v>
      </c>
      <c r="I174" s="76">
        <f>'6.Cons Profit &amp; Loss'!H12</f>
        <v>0</v>
      </c>
    </row>
    <row r="175" spans="2:9">
      <c r="B175" s="74" t="str">
        <f t="shared" si="24"/>
        <v>Facility 1 - Food Processing Unit</v>
      </c>
      <c r="C175" s="76">
        <f>'6.Cons Profit &amp; Loss'!B13</f>
        <v>23254502.039999999</v>
      </c>
      <c r="D175" s="76">
        <f>'6.Cons Profit &amp; Loss'!C13</f>
        <v>24972164.122500002</v>
      </c>
      <c r="E175" s="76">
        <f>'6.Cons Profit &amp; Loss'!D13</f>
        <v>26803456.158149999</v>
      </c>
      <c r="F175" s="76">
        <f>'6.Cons Profit &amp; Loss'!E13</f>
        <v>28755446.987058759</v>
      </c>
      <c r="G175" s="76">
        <f>'6.Cons Profit &amp; Loss'!F13</f>
        <v>30835628.258463006</v>
      </c>
      <c r="H175" s="76">
        <f>'6.Cons Profit &amp; Loss'!G13</f>
        <v>33051939.039540045</v>
      </c>
      <c r="I175" s="76">
        <f>'6.Cons Profit &amp; Loss'!H13</f>
        <v>35412791.828078613</v>
      </c>
    </row>
    <row r="176" spans="2:9">
      <c r="B176" s="74">
        <f t="shared" si="24"/>
        <v>0</v>
      </c>
      <c r="C176" s="76">
        <f>'6.Cons Profit &amp; Loss'!B14</f>
        <v>0</v>
      </c>
      <c r="D176" s="76">
        <f>'6.Cons Profit &amp; Loss'!C14</f>
        <v>0</v>
      </c>
      <c r="E176" s="76">
        <f>'6.Cons Profit &amp; Loss'!D14</f>
        <v>0</v>
      </c>
      <c r="F176" s="76">
        <f>'6.Cons Profit &amp; Loss'!E14</f>
        <v>0</v>
      </c>
      <c r="G176" s="76">
        <f>'6.Cons Profit &amp; Loss'!F14</f>
        <v>0</v>
      </c>
      <c r="H176" s="76">
        <f>'6.Cons Profit &amp; Loss'!G14</f>
        <v>0</v>
      </c>
      <c r="I176" s="76">
        <f>'6.Cons Profit &amp; Loss'!H14</f>
        <v>0</v>
      </c>
    </row>
    <row r="177" spans="2:13">
      <c r="B177" s="74" t="s">
        <v>310</v>
      </c>
      <c r="C177" s="76">
        <f>SUM(C170:C176)</f>
        <v>23254502.039999999</v>
      </c>
      <c r="D177" s="76">
        <f t="shared" ref="D177:I177" si="25">SUM(D170:D176)</f>
        <v>24972164.122500002</v>
      </c>
      <c r="E177" s="76">
        <f t="shared" si="25"/>
        <v>26803456.158149999</v>
      </c>
      <c r="F177" s="76">
        <f t="shared" si="25"/>
        <v>28755446.987058759</v>
      </c>
      <c r="G177" s="76">
        <f t="shared" si="25"/>
        <v>30835628.258463006</v>
      </c>
      <c r="H177" s="76">
        <f t="shared" si="25"/>
        <v>33051939.039540045</v>
      </c>
      <c r="I177" s="76">
        <f t="shared" si="25"/>
        <v>35412791.828078613</v>
      </c>
    </row>
    <row r="178" spans="2:13">
      <c r="B178" s="74" t="s">
        <v>311</v>
      </c>
      <c r="C178" s="76"/>
      <c r="D178" s="76"/>
      <c r="E178" s="76"/>
      <c r="F178" s="76"/>
      <c r="G178" s="76"/>
      <c r="H178" s="76"/>
      <c r="I178" s="76"/>
    </row>
    <row r="179" spans="2:13">
      <c r="B179" s="74" t="s">
        <v>312</v>
      </c>
      <c r="C179" s="76">
        <f>'6.Cons Profit &amp; Loss'!B36</f>
        <v>1554800</v>
      </c>
      <c r="D179" s="76">
        <f>'6.Cons Profit &amp; Loss'!C36</f>
        <v>1632540</v>
      </c>
      <c r="E179" s="76">
        <f>'6.Cons Profit &amp; Loss'!D36</f>
        <v>1714167</v>
      </c>
      <c r="F179" s="76">
        <f>'6.Cons Profit &amp; Loss'!E36</f>
        <v>1799875.3500000003</v>
      </c>
      <c r="G179" s="76">
        <f>'6.Cons Profit &amp; Loss'!F36</f>
        <v>1889869.1175000002</v>
      </c>
      <c r="H179" s="76">
        <f>'6.Cons Profit &amp; Loss'!G36</f>
        <v>1984362.5733750002</v>
      </c>
      <c r="I179" s="76">
        <f>'6.Cons Profit &amp; Loss'!H36</f>
        <v>2083580.7020437506</v>
      </c>
    </row>
    <row r="180" spans="2:13">
      <c r="B180" s="74" t="s">
        <v>266</v>
      </c>
      <c r="C180" s="76">
        <f>'6.Cons Profit &amp; Loss'!B25*(1-$M$127)</f>
        <v>9643824.5736950003</v>
      </c>
      <c r="D180" s="76">
        <f>'6.Cons Profit &amp; Loss'!C25*(1-$M$127)</f>
        <v>10842346.834736565</v>
      </c>
      <c r="E180" s="76">
        <f>'6.Cons Profit &amp; Loss'!D25*(1-$M$127)</f>
        <v>11678331.39810973</v>
      </c>
      <c r="F180" s="76">
        <f>'6.Cons Profit &amp; Loss'!E25*(1-$M$127)</f>
        <v>12666272.419011895</v>
      </c>
      <c r="G180" s="76">
        <f>'6.Cons Profit &amp; Loss'!F25*(1-$M$127)</f>
        <v>13854280.756959308</v>
      </c>
      <c r="H180" s="76">
        <f>'6.Cons Profit &amp; Loss'!G25*(1-$M$127)</f>
        <v>15323420.608940406</v>
      </c>
      <c r="I180" s="76">
        <f>'6.Cons Profit &amp; Loss'!H25*(1-$M$127)</f>
        <v>17213055.596606981</v>
      </c>
    </row>
    <row r="181" spans="2:13">
      <c r="B181" s="74" t="s">
        <v>313</v>
      </c>
      <c r="C181" s="76">
        <f t="shared" ref="C181:I181" si="26">SUM(C179:C180)</f>
        <v>11198624.573695</v>
      </c>
      <c r="D181" s="76">
        <f t="shared" si="26"/>
        <v>12474886.834736565</v>
      </c>
      <c r="E181" s="76">
        <f t="shared" si="26"/>
        <v>13392498.39810973</v>
      </c>
      <c r="F181" s="76">
        <f t="shared" si="26"/>
        <v>14466147.769011894</v>
      </c>
      <c r="G181" s="76">
        <f t="shared" si="26"/>
        <v>15744149.874459308</v>
      </c>
      <c r="H181" s="76">
        <f t="shared" si="26"/>
        <v>17307783.182315405</v>
      </c>
      <c r="I181" s="76">
        <f t="shared" si="26"/>
        <v>19296636.29865073</v>
      </c>
    </row>
    <row r="182" spans="2:13">
      <c r="B182" s="77" t="s">
        <v>314</v>
      </c>
      <c r="C182" s="339">
        <f t="shared" ref="C182:I182" si="27">+C177-C181</f>
        <v>12055877.466304999</v>
      </c>
      <c r="D182" s="339">
        <f t="shared" si="27"/>
        <v>12497277.287763437</v>
      </c>
      <c r="E182" s="339">
        <f t="shared" si="27"/>
        <v>13410957.760040268</v>
      </c>
      <c r="F182" s="339">
        <f t="shared" si="27"/>
        <v>14289299.218046864</v>
      </c>
      <c r="G182" s="339">
        <f t="shared" si="27"/>
        <v>15091478.384003699</v>
      </c>
      <c r="H182" s="339">
        <f t="shared" si="27"/>
        <v>15744155.85722464</v>
      </c>
      <c r="I182" s="339">
        <f t="shared" si="27"/>
        <v>16116155.529427882</v>
      </c>
    </row>
    <row r="184" spans="2:13" ht="41.1" customHeight="1">
      <c r="B184" s="462" t="s">
        <v>500</v>
      </c>
      <c r="C184" s="462"/>
      <c r="D184" s="462"/>
      <c r="E184" s="462"/>
      <c r="F184" s="462"/>
      <c r="G184" s="462"/>
      <c r="H184" s="462"/>
      <c r="I184" s="462"/>
      <c r="J184" s="346"/>
      <c r="K184" s="346"/>
      <c r="L184" s="346"/>
      <c r="M184" s="346"/>
    </row>
  </sheetData>
  <mergeCells count="20">
    <mergeCell ref="B184:I184"/>
    <mergeCell ref="B123:I123"/>
    <mergeCell ref="K123:R123"/>
    <mergeCell ref="D20:J20"/>
    <mergeCell ref="D22:J22"/>
    <mergeCell ref="B75:J75"/>
    <mergeCell ref="B88:I88"/>
    <mergeCell ref="B103:J103"/>
    <mergeCell ref="B121:J121"/>
    <mergeCell ref="B105:I105"/>
    <mergeCell ref="B76:I76"/>
    <mergeCell ref="C82:I82"/>
    <mergeCell ref="C83:I83"/>
    <mergeCell ref="C85:I85"/>
    <mergeCell ref="B90:J90"/>
    <mergeCell ref="B5:J5"/>
    <mergeCell ref="B26:I26"/>
    <mergeCell ref="B54:I54"/>
    <mergeCell ref="B24:J24"/>
    <mergeCell ref="B51:J51"/>
  </mergeCells>
  <hyperlinks>
    <hyperlink ref="B24" r:id="rId1" display="https://www.investopedia.com/terms/d/discountrate.asp"/>
  </hyperlinks>
  <pageMargins left="0.70866141732283472" right="0.70866141732283472" top="0.74803149606299213" bottom="0.74803149606299213" header="0.31496062992125984" footer="0.31496062992125984"/>
  <pageSetup scale="24" orientation="portrait" r:id="rId2"/>
  <rowBreaks count="2" manualBreakCount="2">
    <brk id="74" min="1" max="12" man="1"/>
    <brk id="153" min="1"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view="pageBreakPreview" zoomScale="80" zoomScaleNormal="100" zoomScaleSheetLayoutView="80" workbookViewId="0">
      <selection activeCell="B42" sqref="B42"/>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5" t="s">
        <v>559</v>
      </c>
      <c r="B1" s="425"/>
      <c r="C1" s="425"/>
      <c r="D1" s="425"/>
      <c r="E1" s="425"/>
      <c r="F1" s="425"/>
      <c r="G1" s="425"/>
      <c r="H1" s="425"/>
    </row>
    <row r="2" spans="1:26">
      <c r="B2" s="4"/>
    </row>
    <row r="3" spans="1:26" ht="18.75">
      <c r="A3" s="471" t="s">
        <v>529</v>
      </c>
      <c r="B3" s="471"/>
    </row>
    <row r="4" spans="1:26">
      <c r="A4" s="292" t="s">
        <v>0</v>
      </c>
      <c r="B4" s="310" t="s">
        <v>351</v>
      </c>
      <c r="C4" s="311"/>
      <c r="D4" s="311"/>
      <c r="E4" s="311"/>
      <c r="F4" s="311"/>
      <c r="G4" s="311"/>
      <c r="H4" s="311"/>
    </row>
    <row r="5" spans="1:26">
      <c r="A5" s="10" t="s">
        <v>460</v>
      </c>
      <c r="B5" s="288"/>
      <c r="C5" s="312"/>
      <c r="D5" s="313"/>
      <c r="E5" s="313"/>
      <c r="F5" s="313"/>
      <c r="G5" s="313"/>
      <c r="H5" s="313"/>
    </row>
    <row r="6" spans="1:26">
      <c r="A6" s="10" t="s">
        <v>461</v>
      </c>
      <c r="B6" s="288"/>
      <c r="C6" s="312"/>
      <c r="D6" s="313"/>
      <c r="E6" s="313"/>
      <c r="F6" s="313"/>
      <c r="G6" s="313"/>
      <c r="H6" s="313"/>
    </row>
    <row r="7" spans="1:26">
      <c r="A7" s="2" t="s">
        <v>1</v>
      </c>
      <c r="B7" s="336">
        <f>B5+B6</f>
        <v>0</v>
      </c>
      <c r="C7" s="314"/>
      <c r="D7" s="315"/>
      <c r="E7" s="315"/>
      <c r="F7" s="315"/>
      <c r="G7" s="315"/>
      <c r="H7" s="315"/>
    </row>
    <row r="8" spans="1:26">
      <c r="A8" s="2" t="s">
        <v>462</v>
      </c>
      <c r="B8" s="335">
        <v>2</v>
      </c>
      <c r="C8" s="314"/>
      <c r="D8" s="314"/>
      <c r="E8" s="314"/>
      <c r="F8" s="314"/>
      <c r="G8" s="314"/>
      <c r="H8" s="314"/>
    </row>
    <row r="9" spans="1:26">
      <c r="A9" s="2" t="s">
        <v>466</v>
      </c>
      <c r="B9" s="336">
        <f>B7*B8</f>
        <v>0</v>
      </c>
      <c r="C9" s="315"/>
      <c r="D9" s="315"/>
      <c r="E9" s="315"/>
      <c r="F9" s="315"/>
      <c r="G9" s="315"/>
      <c r="H9" s="315"/>
    </row>
    <row r="10" spans="1:26">
      <c r="J10" t="s">
        <v>422</v>
      </c>
      <c r="O10" t="s">
        <v>418</v>
      </c>
      <c r="U10" t="s">
        <v>419</v>
      </c>
      <c r="Y10" t="s">
        <v>420</v>
      </c>
      <c r="Z10" t="s">
        <v>421</v>
      </c>
    </row>
    <row r="11" spans="1:26" ht="18.75">
      <c r="A11" s="425" t="s">
        <v>530</v>
      </c>
      <c r="B11" s="425"/>
      <c r="C11" s="425"/>
      <c r="D11" s="425"/>
      <c r="E11" s="425"/>
      <c r="F11" s="425"/>
      <c r="G11" s="425"/>
      <c r="H11" s="425"/>
      <c r="I11" s="287"/>
      <c r="J11" s="287"/>
      <c r="K11" s="287"/>
      <c r="L11" s="287"/>
      <c r="M11" s="287"/>
      <c r="N11" s="287"/>
      <c r="O11" s="287"/>
      <c r="P11" s="287"/>
    </row>
    <row r="12" spans="1:26">
      <c r="J12" s="3">
        <v>0.65</v>
      </c>
      <c r="K12" s="306">
        <f>J12+0.05</f>
        <v>0.70000000000000007</v>
      </c>
      <c r="L12" s="306">
        <f t="shared" ref="L12:N12" si="0">K12+0.05</f>
        <v>0.75000000000000011</v>
      </c>
      <c r="M12" s="306">
        <f t="shared" si="0"/>
        <v>0.80000000000000016</v>
      </c>
      <c r="N12" s="306">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2" t="s">
        <v>355</v>
      </c>
      <c r="B13" s="292" t="s">
        <v>356</v>
      </c>
      <c r="C13" s="293" t="s">
        <v>415</v>
      </c>
      <c r="D13" s="293" t="s">
        <v>423</v>
      </c>
      <c r="E13" s="293" t="s">
        <v>424</v>
      </c>
      <c r="F13" s="293" t="s">
        <v>357</v>
      </c>
      <c r="G13" s="293" t="s">
        <v>603</v>
      </c>
      <c r="H13" s="293" t="s">
        <v>358</v>
      </c>
      <c r="O13" s="305" t="s">
        <v>2</v>
      </c>
      <c r="P13" s="305" t="s">
        <v>3</v>
      </c>
      <c r="Q13" s="305" t="s">
        <v>4</v>
      </c>
      <c r="R13" s="305" t="s">
        <v>5</v>
      </c>
      <c r="S13" s="305" t="s">
        <v>6</v>
      </c>
      <c r="T13" s="305" t="s">
        <v>2</v>
      </c>
      <c r="U13" s="305" t="s">
        <v>3</v>
      </c>
      <c r="V13" s="305" t="s">
        <v>4</v>
      </c>
      <c r="W13" s="305" t="s">
        <v>5</v>
      </c>
      <c r="X13" s="305" t="s">
        <v>6</v>
      </c>
    </row>
    <row r="14" spans="1:26">
      <c r="A14" s="475" t="s">
        <v>359</v>
      </c>
      <c r="B14" s="288" t="s">
        <v>132</v>
      </c>
      <c r="C14" s="303">
        <v>0</v>
      </c>
      <c r="D14" s="10">
        <f t="shared" ref="D14:D22" si="3">$B$9*C14</f>
        <v>0</v>
      </c>
      <c r="E14" s="289">
        <v>15</v>
      </c>
      <c r="F14" s="10">
        <f>D14*E14</f>
        <v>0</v>
      </c>
      <c r="G14" s="304">
        <v>0.1</v>
      </c>
      <c r="H14" s="10">
        <f>(F14-F14*G14)</f>
        <v>0</v>
      </c>
      <c r="J14">
        <f>$D$14*J12</f>
        <v>0</v>
      </c>
      <c r="K14">
        <f>$D$14*K12</f>
        <v>0</v>
      </c>
      <c r="L14">
        <f>$D$14*L12</f>
        <v>0</v>
      </c>
      <c r="M14">
        <f>$D$14*M12</f>
        <v>0</v>
      </c>
      <c r="N14">
        <f>$D$14*N12</f>
        <v>0</v>
      </c>
    </row>
    <row r="15" spans="1:26">
      <c r="A15" s="476"/>
      <c r="B15" s="288" t="s">
        <v>447</v>
      </c>
      <c r="C15" s="303">
        <v>0</v>
      </c>
      <c r="D15" s="10">
        <f t="shared" si="3"/>
        <v>0</v>
      </c>
      <c r="E15" s="289">
        <v>7</v>
      </c>
      <c r="F15" s="10">
        <f t="shared" ref="F15:F36" si="4">D15*E15</f>
        <v>0</v>
      </c>
      <c r="G15" s="304">
        <v>0.05</v>
      </c>
      <c r="H15" s="10">
        <f>(F15-F15*G15)</f>
        <v>0</v>
      </c>
    </row>
    <row r="16" spans="1:26">
      <c r="A16" s="476"/>
      <c r="B16" s="288" t="s">
        <v>446</v>
      </c>
      <c r="C16" s="303">
        <v>0</v>
      </c>
      <c r="D16" s="10">
        <f t="shared" si="3"/>
        <v>0</v>
      </c>
      <c r="E16" s="289">
        <v>4</v>
      </c>
      <c r="F16" s="10">
        <f t="shared" si="4"/>
        <v>0</v>
      </c>
      <c r="G16" s="304">
        <v>0</v>
      </c>
      <c r="H16" s="10">
        <f t="shared" ref="H16:H36" si="5">(F16-F16*G16)</f>
        <v>0</v>
      </c>
    </row>
    <row r="17" spans="1:8">
      <c r="A17" s="476"/>
      <c r="B17" s="288" t="s">
        <v>444</v>
      </c>
      <c r="C17" s="303">
        <v>0</v>
      </c>
      <c r="D17" s="10">
        <f t="shared" si="3"/>
        <v>0</v>
      </c>
      <c r="E17" s="289">
        <v>7</v>
      </c>
      <c r="F17" s="10">
        <f t="shared" si="4"/>
        <v>0</v>
      </c>
      <c r="G17" s="304">
        <v>0.02</v>
      </c>
      <c r="H17" s="10">
        <f t="shared" si="5"/>
        <v>0</v>
      </c>
    </row>
    <row r="18" spans="1:8">
      <c r="A18" s="476"/>
      <c r="B18" s="288" t="s">
        <v>360</v>
      </c>
      <c r="C18" s="303">
        <v>0</v>
      </c>
      <c r="D18" s="10">
        <f t="shared" si="3"/>
        <v>0</v>
      </c>
      <c r="E18" s="289">
        <v>20</v>
      </c>
      <c r="F18" s="10">
        <f t="shared" si="4"/>
        <v>0</v>
      </c>
      <c r="G18" s="304">
        <v>0</v>
      </c>
      <c r="H18" s="10">
        <f t="shared" si="5"/>
        <v>0</v>
      </c>
    </row>
    <row r="19" spans="1:8">
      <c r="A19" s="476"/>
      <c r="B19" s="288" t="s">
        <v>445</v>
      </c>
      <c r="C19" s="303">
        <v>0</v>
      </c>
      <c r="D19" s="10">
        <f t="shared" si="3"/>
        <v>0</v>
      </c>
      <c r="E19" s="289">
        <v>7</v>
      </c>
      <c r="F19" s="10">
        <f t="shared" si="4"/>
        <v>0</v>
      </c>
      <c r="G19" s="304">
        <v>0.1</v>
      </c>
      <c r="H19" s="10">
        <f t="shared" si="5"/>
        <v>0</v>
      </c>
    </row>
    <row r="20" spans="1:8">
      <c r="A20" s="476"/>
      <c r="B20" s="288" t="s">
        <v>438</v>
      </c>
      <c r="C20" s="303">
        <v>0</v>
      </c>
      <c r="D20" s="10">
        <f t="shared" si="3"/>
        <v>0</v>
      </c>
      <c r="E20" s="289">
        <v>6</v>
      </c>
      <c r="F20" s="10">
        <f t="shared" si="4"/>
        <v>0</v>
      </c>
      <c r="G20" s="304">
        <v>0.02</v>
      </c>
      <c r="H20" s="10">
        <f t="shared" si="5"/>
        <v>0</v>
      </c>
    </row>
    <row r="21" spans="1:8">
      <c r="A21" s="476"/>
      <c r="B21" s="288" t="s">
        <v>364</v>
      </c>
      <c r="C21" s="303">
        <v>0</v>
      </c>
      <c r="D21" s="10">
        <f t="shared" si="3"/>
        <v>0</v>
      </c>
      <c r="E21" s="289"/>
      <c r="F21" s="10">
        <f t="shared" si="4"/>
        <v>0</v>
      </c>
      <c r="G21" s="304">
        <v>0</v>
      </c>
      <c r="H21" s="10">
        <f t="shared" si="5"/>
        <v>0</v>
      </c>
    </row>
    <row r="22" spans="1:8">
      <c r="A22" s="477"/>
      <c r="B22" s="288" t="s">
        <v>448</v>
      </c>
      <c r="C22" s="303">
        <v>0</v>
      </c>
      <c r="D22" s="10">
        <f t="shared" si="3"/>
        <v>0</v>
      </c>
      <c r="E22" s="289"/>
      <c r="F22" s="10">
        <f t="shared" si="4"/>
        <v>0</v>
      </c>
      <c r="G22" s="304">
        <v>0</v>
      </c>
      <c r="H22" s="10">
        <f t="shared" si="5"/>
        <v>0</v>
      </c>
    </row>
    <row r="23" spans="1:8">
      <c r="A23" s="318" t="s">
        <v>452</v>
      </c>
      <c r="B23" s="328">
        <v>0.3</v>
      </c>
      <c r="C23" s="330">
        <f>B9*B23</f>
        <v>0</v>
      </c>
      <c r="D23" s="10"/>
      <c r="E23" s="289"/>
      <c r="F23" s="10"/>
      <c r="G23" s="304"/>
      <c r="H23" s="10"/>
    </row>
    <row r="24" spans="1:8">
      <c r="A24" s="475" t="s">
        <v>361</v>
      </c>
      <c r="B24" s="288" t="s">
        <v>362</v>
      </c>
      <c r="C24" s="303">
        <v>0</v>
      </c>
      <c r="D24" s="10">
        <f>C$23*C24</f>
        <v>0</v>
      </c>
      <c r="E24" s="289">
        <v>10</v>
      </c>
      <c r="F24" s="10">
        <f t="shared" si="4"/>
        <v>0</v>
      </c>
      <c r="G24" s="304">
        <v>0.1</v>
      </c>
      <c r="H24" s="10">
        <f t="shared" si="5"/>
        <v>0</v>
      </c>
    </row>
    <row r="25" spans="1:8">
      <c r="A25" s="476"/>
      <c r="B25" s="288" t="s">
        <v>363</v>
      </c>
      <c r="C25" s="303">
        <v>0</v>
      </c>
      <c r="D25" s="10">
        <f>C$23*C25</f>
        <v>0</v>
      </c>
      <c r="E25" s="289">
        <v>10</v>
      </c>
      <c r="F25" s="10">
        <f t="shared" si="4"/>
        <v>0</v>
      </c>
      <c r="G25" s="304">
        <v>0.1</v>
      </c>
      <c r="H25" s="10">
        <f t="shared" si="5"/>
        <v>0</v>
      </c>
    </row>
    <row r="26" spans="1:8">
      <c r="A26" s="476"/>
      <c r="B26" s="288" t="s">
        <v>364</v>
      </c>
      <c r="C26" s="303">
        <v>0</v>
      </c>
      <c r="D26" s="10">
        <f>C$23*C26</f>
        <v>0</v>
      </c>
      <c r="E26" s="289">
        <v>10</v>
      </c>
      <c r="F26" s="10">
        <f t="shared" si="4"/>
        <v>0</v>
      </c>
      <c r="G26" s="304">
        <v>0.05</v>
      </c>
      <c r="H26" s="10">
        <f t="shared" si="5"/>
        <v>0</v>
      </c>
    </row>
    <row r="27" spans="1:8">
      <c r="A27" s="476"/>
      <c r="B27" s="288" t="s">
        <v>360</v>
      </c>
      <c r="C27" s="303">
        <v>0</v>
      </c>
      <c r="D27" s="10">
        <f t="shared" ref="D27:D31" si="6">C$23*C27</f>
        <v>0</v>
      </c>
      <c r="E27" s="289">
        <v>20</v>
      </c>
      <c r="F27" s="10">
        <f t="shared" si="4"/>
        <v>0</v>
      </c>
      <c r="G27" s="304">
        <v>0</v>
      </c>
      <c r="H27" s="10">
        <f t="shared" si="5"/>
        <v>0</v>
      </c>
    </row>
    <row r="28" spans="1:8">
      <c r="A28" s="476"/>
      <c r="B28" s="288" t="s">
        <v>449</v>
      </c>
      <c r="C28" s="303">
        <v>0</v>
      </c>
      <c r="D28" s="10">
        <f t="shared" si="6"/>
        <v>0</v>
      </c>
      <c r="E28" s="289"/>
      <c r="F28" s="10">
        <f t="shared" si="4"/>
        <v>0</v>
      </c>
      <c r="G28" s="304">
        <v>0</v>
      </c>
      <c r="H28" s="10">
        <f t="shared" si="5"/>
        <v>0</v>
      </c>
    </row>
    <row r="29" spans="1:8">
      <c r="A29" s="476"/>
      <c r="B29" s="288"/>
      <c r="C29" s="303">
        <v>0</v>
      </c>
      <c r="D29" s="10">
        <f t="shared" si="6"/>
        <v>0</v>
      </c>
      <c r="E29" s="289"/>
      <c r="F29" s="10">
        <f t="shared" si="4"/>
        <v>0</v>
      </c>
      <c r="G29" s="304">
        <v>0</v>
      </c>
      <c r="H29" s="10">
        <f t="shared" si="5"/>
        <v>0</v>
      </c>
    </row>
    <row r="30" spans="1:8">
      <c r="A30" s="476"/>
      <c r="B30" s="288"/>
      <c r="C30" s="303">
        <v>0</v>
      </c>
      <c r="D30" s="10">
        <f t="shared" si="6"/>
        <v>0</v>
      </c>
      <c r="E30" s="289"/>
      <c r="F30" s="10">
        <f t="shared" si="4"/>
        <v>0</v>
      </c>
      <c r="G30" s="304">
        <v>0</v>
      </c>
      <c r="H30" s="10">
        <f t="shared" si="5"/>
        <v>0</v>
      </c>
    </row>
    <row r="31" spans="1:8">
      <c r="A31" s="477"/>
      <c r="B31" s="288"/>
      <c r="C31" s="303">
        <v>0</v>
      </c>
      <c r="D31" s="10">
        <f t="shared" si="6"/>
        <v>0</v>
      </c>
      <c r="E31" s="289"/>
      <c r="F31" s="10">
        <f t="shared" si="4"/>
        <v>0</v>
      </c>
      <c r="G31" s="304">
        <v>0</v>
      </c>
      <c r="H31" s="10">
        <f t="shared" si="5"/>
        <v>0</v>
      </c>
    </row>
    <row r="32" spans="1:8">
      <c r="A32" s="318" t="s">
        <v>451</v>
      </c>
      <c r="B32" s="328">
        <v>0.05</v>
      </c>
      <c r="C32" s="297">
        <f>B9*B32</f>
        <v>0</v>
      </c>
      <c r="D32" s="10"/>
      <c r="E32" s="289"/>
      <c r="F32" s="10"/>
      <c r="G32" s="304"/>
      <c r="H32" s="10"/>
    </row>
    <row r="33" spans="1:8">
      <c r="A33" s="331" t="s">
        <v>429</v>
      </c>
      <c r="B33" s="288" t="s">
        <v>450</v>
      </c>
      <c r="C33" s="303">
        <v>0</v>
      </c>
      <c r="D33" s="10">
        <f>C$32*C33</f>
        <v>0</v>
      </c>
      <c r="E33" s="289"/>
      <c r="F33" s="10">
        <f t="shared" si="4"/>
        <v>0</v>
      </c>
      <c r="G33" s="304">
        <v>0</v>
      </c>
      <c r="H33" s="10">
        <f t="shared" si="5"/>
        <v>0</v>
      </c>
    </row>
    <row r="34" spans="1:8">
      <c r="A34" s="332"/>
      <c r="B34" s="288"/>
      <c r="C34" s="303">
        <v>0</v>
      </c>
      <c r="D34" s="10">
        <f>C$32*C34</f>
        <v>0</v>
      </c>
      <c r="E34" s="289"/>
      <c r="F34" s="10">
        <f t="shared" si="4"/>
        <v>0</v>
      </c>
      <c r="G34" s="304">
        <v>0</v>
      </c>
      <c r="H34" s="10">
        <f t="shared" si="5"/>
        <v>0</v>
      </c>
    </row>
    <row r="35" spans="1:8">
      <c r="A35" s="332"/>
      <c r="B35" s="288"/>
      <c r="C35" s="303">
        <v>0</v>
      </c>
      <c r="D35" s="10">
        <f>C$32*C35</f>
        <v>0</v>
      </c>
      <c r="E35" s="289"/>
      <c r="F35" s="10">
        <f t="shared" si="4"/>
        <v>0</v>
      </c>
      <c r="G35" s="304">
        <v>0</v>
      </c>
      <c r="H35" s="10">
        <f t="shared" si="5"/>
        <v>0</v>
      </c>
    </row>
    <row r="36" spans="1:8">
      <c r="A36" s="333"/>
      <c r="B36" s="288"/>
      <c r="C36" s="303">
        <v>0</v>
      </c>
      <c r="D36" s="10">
        <f>C$32*C36</f>
        <v>0</v>
      </c>
      <c r="E36" s="289"/>
      <c r="F36" s="10">
        <f t="shared" si="4"/>
        <v>0</v>
      </c>
      <c r="G36" s="304">
        <v>0</v>
      </c>
      <c r="H36" s="10">
        <f t="shared" si="5"/>
        <v>0</v>
      </c>
    </row>
    <row r="37" spans="1:8">
      <c r="A37" s="474" t="s">
        <v>365</v>
      </c>
      <c r="B37" s="474"/>
      <c r="C37" s="474"/>
      <c r="D37" s="474"/>
      <c r="E37" s="474"/>
      <c r="F37" s="474"/>
      <c r="G37" s="474"/>
      <c r="H37" s="474"/>
    </row>
    <row r="39" spans="1:8" ht="18.75">
      <c r="A39" s="478" t="s">
        <v>531</v>
      </c>
      <c r="B39" s="479"/>
      <c r="C39" s="479"/>
      <c r="D39" s="479"/>
      <c r="E39" s="479"/>
      <c r="F39" s="479"/>
      <c r="G39" s="479"/>
      <c r="H39" s="480"/>
    </row>
    <row r="40" spans="1:8">
      <c r="A40" s="481" t="s">
        <v>0</v>
      </c>
      <c r="B40" s="319">
        <v>0.3</v>
      </c>
      <c r="C40" s="319">
        <f>B40+0.05</f>
        <v>0.35</v>
      </c>
      <c r="D40" s="319">
        <f t="shared" ref="D40:G40" si="7">C40+0.05</f>
        <v>0.39999999999999997</v>
      </c>
      <c r="E40" s="319">
        <f t="shared" si="7"/>
        <v>0.44999999999999996</v>
      </c>
      <c r="F40" s="319">
        <f t="shared" si="7"/>
        <v>0.49999999999999994</v>
      </c>
      <c r="G40" s="319">
        <f t="shared" si="7"/>
        <v>0.54999999999999993</v>
      </c>
      <c r="H40" s="319">
        <f>G40+0.05</f>
        <v>0.6</v>
      </c>
    </row>
    <row r="41" spans="1:8">
      <c r="A41" s="482"/>
      <c r="B41" s="310" t="s">
        <v>2</v>
      </c>
      <c r="C41" s="310" t="s">
        <v>3</v>
      </c>
      <c r="D41" s="310" t="s">
        <v>4</v>
      </c>
      <c r="E41" s="310" t="s">
        <v>5</v>
      </c>
      <c r="F41" s="310" t="s">
        <v>6</v>
      </c>
      <c r="G41" s="310" t="s">
        <v>134</v>
      </c>
      <c r="H41" s="310" t="s">
        <v>133</v>
      </c>
    </row>
    <row r="42" spans="1:8">
      <c r="A42" s="10" t="str">
        <f t="shared" ref="A42:A50" si="8">B14</f>
        <v>Soybean</v>
      </c>
      <c r="B42" s="10">
        <f t="shared" ref="B42:B50" si="9">H14*$B$40</f>
        <v>0</v>
      </c>
      <c r="C42" s="10">
        <f t="shared" ref="C42:H51" si="10">(B42/B$40)*C$40</f>
        <v>0</v>
      </c>
      <c r="D42" s="10">
        <f t="shared" si="10"/>
        <v>0</v>
      </c>
      <c r="E42" s="10">
        <f t="shared" si="10"/>
        <v>0</v>
      </c>
      <c r="F42" s="10">
        <f t="shared" si="10"/>
        <v>0</v>
      </c>
      <c r="G42" s="10">
        <f t="shared" si="10"/>
        <v>0</v>
      </c>
      <c r="H42" s="10">
        <f t="shared" si="10"/>
        <v>0</v>
      </c>
    </row>
    <row r="43" spans="1:8">
      <c r="A43" s="10" t="str">
        <f t="shared" si="8"/>
        <v>Red Gram/Tur</v>
      </c>
      <c r="B43" s="10">
        <f t="shared" si="9"/>
        <v>0</v>
      </c>
      <c r="C43" s="10">
        <f t="shared" si="10"/>
        <v>0</v>
      </c>
      <c r="D43" s="10">
        <f t="shared" si="10"/>
        <v>0</v>
      </c>
      <c r="E43" s="10">
        <f t="shared" si="10"/>
        <v>0</v>
      </c>
      <c r="F43" s="10">
        <f t="shared" si="10"/>
        <v>0</v>
      </c>
      <c r="G43" s="10">
        <f t="shared" si="10"/>
        <v>0</v>
      </c>
      <c r="H43" s="10">
        <f t="shared" si="10"/>
        <v>0</v>
      </c>
    </row>
    <row r="44" spans="1:8">
      <c r="A44" s="10" t="str">
        <f t="shared" si="8"/>
        <v>Paddy/Rice</v>
      </c>
      <c r="B44" s="10">
        <f t="shared" si="9"/>
        <v>0</v>
      </c>
      <c r="C44" s="10">
        <f t="shared" si="10"/>
        <v>0</v>
      </c>
      <c r="D44" s="10">
        <f t="shared" si="10"/>
        <v>0</v>
      </c>
      <c r="E44" s="10">
        <f t="shared" si="10"/>
        <v>0</v>
      </c>
      <c r="F44" s="10">
        <f t="shared" si="10"/>
        <v>0</v>
      </c>
      <c r="G44" s="10">
        <f t="shared" si="10"/>
        <v>0</v>
      </c>
      <c r="H44" s="10">
        <f t="shared" si="10"/>
        <v>0</v>
      </c>
    </row>
    <row r="45" spans="1:8">
      <c r="A45" s="10" t="str">
        <f t="shared" si="8"/>
        <v>Green Gram/ Moong</v>
      </c>
      <c r="B45" s="10">
        <f t="shared" si="9"/>
        <v>0</v>
      </c>
      <c r="C45" s="10">
        <f t="shared" si="10"/>
        <v>0</v>
      </c>
      <c r="D45" s="10">
        <f t="shared" si="10"/>
        <v>0</v>
      </c>
      <c r="E45" s="10">
        <f t="shared" si="10"/>
        <v>0</v>
      </c>
      <c r="F45" s="10">
        <f t="shared" si="10"/>
        <v>0</v>
      </c>
      <c r="G45" s="10">
        <f t="shared" si="10"/>
        <v>0</v>
      </c>
      <c r="H45" s="10">
        <f t="shared" si="10"/>
        <v>0</v>
      </c>
    </row>
    <row r="46" spans="1:8">
      <c r="A46" s="10" t="str">
        <f t="shared" si="8"/>
        <v>Maize</v>
      </c>
      <c r="B46" s="10">
        <f t="shared" si="9"/>
        <v>0</v>
      </c>
      <c r="C46" s="10">
        <f t="shared" si="10"/>
        <v>0</v>
      </c>
      <c r="D46" s="10">
        <f t="shared" si="10"/>
        <v>0</v>
      </c>
      <c r="E46" s="10">
        <f t="shared" si="10"/>
        <v>0</v>
      </c>
      <c r="F46" s="10">
        <f t="shared" si="10"/>
        <v>0</v>
      </c>
      <c r="G46" s="10">
        <f t="shared" si="10"/>
        <v>0</v>
      </c>
      <c r="H46" s="10">
        <f t="shared" si="10"/>
        <v>0</v>
      </c>
    </row>
    <row r="47" spans="1:8">
      <c r="A47" s="10" t="str">
        <f t="shared" si="8"/>
        <v>Black Gram/Udid</v>
      </c>
      <c r="B47" s="10">
        <f t="shared" si="9"/>
        <v>0</v>
      </c>
      <c r="C47" s="10">
        <f t="shared" si="10"/>
        <v>0</v>
      </c>
      <c r="D47" s="10">
        <f t="shared" si="10"/>
        <v>0</v>
      </c>
      <c r="E47" s="10">
        <f t="shared" si="10"/>
        <v>0</v>
      </c>
      <c r="F47" s="10">
        <f t="shared" si="10"/>
        <v>0</v>
      </c>
      <c r="G47" s="10">
        <f t="shared" si="10"/>
        <v>0</v>
      </c>
      <c r="H47" s="10">
        <f t="shared" si="10"/>
        <v>0</v>
      </c>
    </row>
    <row r="48" spans="1:8">
      <c r="A48" s="10" t="str">
        <f t="shared" si="8"/>
        <v>Bajra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Jawar</v>
      </c>
      <c r="B49" s="10">
        <f t="shared" si="9"/>
        <v>0</v>
      </c>
      <c r="C49" s="10">
        <f t="shared" si="10"/>
        <v>0</v>
      </c>
      <c r="D49" s="10">
        <f t="shared" si="10"/>
        <v>0</v>
      </c>
      <c r="E49" s="10">
        <f t="shared" si="10"/>
        <v>0</v>
      </c>
      <c r="F49" s="10">
        <f t="shared" si="10"/>
        <v>0</v>
      </c>
      <c r="G49" s="10">
        <f t="shared" si="10"/>
        <v>0</v>
      </c>
      <c r="H49" s="10">
        <f t="shared" si="10"/>
        <v>0</v>
      </c>
    </row>
    <row r="50" spans="1:8">
      <c r="A50" s="10" t="str">
        <f t="shared" si="8"/>
        <v>Sunflower</v>
      </c>
      <c r="B50" s="10">
        <f t="shared" si="9"/>
        <v>0</v>
      </c>
      <c r="C50" s="10">
        <f t="shared" si="10"/>
        <v>0</v>
      </c>
      <c r="D50" s="10">
        <f t="shared" si="10"/>
        <v>0</v>
      </c>
      <c r="E50" s="10">
        <f t="shared" si="10"/>
        <v>0</v>
      </c>
      <c r="F50" s="10">
        <f t="shared" si="10"/>
        <v>0</v>
      </c>
      <c r="G50" s="10">
        <f t="shared" si="10"/>
        <v>0</v>
      </c>
      <c r="H50" s="10">
        <f t="shared" si="10"/>
        <v>0</v>
      </c>
    </row>
    <row r="51" spans="1:8">
      <c r="A51" s="10" t="str">
        <f t="shared" ref="A51:A58" si="11">B24</f>
        <v>Wheat</v>
      </c>
      <c r="B51" s="10">
        <f t="shared" ref="B51:B58" si="12">H24*$B$40</f>
        <v>0</v>
      </c>
      <c r="C51" s="10">
        <f t="shared" si="10"/>
        <v>0</v>
      </c>
      <c r="D51" s="10">
        <f t="shared" si="10"/>
        <v>0</v>
      </c>
      <c r="E51" s="10">
        <f t="shared" si="10"/>
        <v>0</v>
      </c>
      <c r="F51" s="10">
        <f t="shared" si="10"/>
        <v>0</v>
      </c>
      <c r="G51" s="10">
        <f t="shared" si="10"/>
        <v>0</v>
      </c>
      <c r="H51" s="10">
        <f t="shared" si="10"/>
        <v>0</v>
      </c>
    </row>
    <row r="52" spans="1:8">
      <c r="A52" s="10" t="str">
        <f t="shared" si="11"/>
        <v>Bengal Gram/Channa</v>
      </c>
      <c r="B52" s="10">
        <f t="shared" si="12"/>
        <v>0</v>
      </c>
      <c r="C52" s="10">
        <f t="shared" ref="C52:H61" si="13">(B52/B$40)*C$40</f>
        <v>0</v>
      </c>
      <c r="D52" s="10">
        <f t="shared" si="13"/>
        <v>0</v>
      </c>
      <c r="E52" s="10">
        <f t="shared" si="13"/>
        <v>0</v>
      </c>
      <c r="F52" s="10">
        <f t="shared" si="13"/>
        <v>0</v>
      </c>
      <c r="G52" s="10">
        <f t="shared" si="13"/>
        <v>0</v>
      </c>
      <c r="H52" s="10">
        <f t="shared" si="13"/>
        <v>0</v>
      </c>
    </row>
    <row r="53" spans="1:8">
      <c r="A53" s="10" t="str">
        <f t="shared" si="11"/>
        <v>Jawar</v>
      </c>
      <c r="B53" s="10">
        <f t="shared" si="12"/>
        <v>0</v>
      </c>
      <c r="C53" s="10">
        <f t="shared" si="13"/>
        <v>0</v>
      </c>
      <c r="D53" s="10">
        <f t="shared" si="13"/>
        <v>0</v>
      </c>
      <c r="E53" s="10">
        <f t="shared" si="13"/>
        <v>0</v>
      </c>
      <c r="F53" s="10">
        <f t="shared" si="13"/>
        <v>0</v>
      </c>
      <c r="G53" s="10">
        <f t="shared" si="13"/>
        <v>0</v>
      </c>
      <c r="H53" s="10">
        <f t="shared" si="13"/>
        <v>0</v>
      </c>
    </row>
    <row r="54" spans="1:8">
      <c r="A54" s="10" t="str">
        <f t="shared" si="11"/>
        <v>Maize</v>
      </c>
      <c r="B54" s="10">
        <f t="shared" si="12"/>
        <v>0</v>
      </c>
      <c r="C54" s="10">
        <f t="shared" si="13"/>
        <v>0</v>
      </c>
      <c r="D54" s="10">
        <f t="shared" si="13"/>
        <v>0</v>
      </c>
      <c r="E54" s="10">
        <f t="shared" si="13"/>
        <v>0</v>
      </c>
      <c r="F54" s="10">
        <f t="shared" si="13"/>
        <v>0</v>
      </c>
      <c r="G54" s="10">
        <f t="shared" si="13"/>
        <v>0</v>
      </c>
      <c r="H54" s="10">
        <f t="shared" si="13"/>
        <v>0</v>
      </c>
    </row>
    <row r="55" spans="1:8">
      <c r="A55" s="10" t="str">
        <f t="shared" si="11"/>
        <v>Safflower</v>
      </c>
      <c r="B55" s="10">
        <f t="shared" si="12"/>
        <v>0</v>
      </c>
      <c r="C55" s="10">
        <f t="shared" si="13"/>
        <v>0</v>
      </c>
      <c r="D55" s="10">
        <f t="shared" si="13"/>
        <v>0</v>
      </c>
      <c r="E55" s="10">
        <f t="shared" si="13"/>
        <v>0</v>
      </c>
      <c r="F55" s="10">
        <f t="shared" si="13"/>
        <v>0</v>
      </c>
      <c r="G55" s="10">
        <f t="shared" si="13"/>
        <v>0</v>
      </c>
      <c r="H55" s="10">
        <f t="shared" si="13"/>
        <v>0</v>
      </c>
    </row>
    <row r="56" spans="1:8">
      <c r="A56" s="10">
        <f t="shared" si="11"/>
        <v>0</v>
      </c>
      <c r="B56" s="10">
        <f t="shared" si="12"/>
        <v>0</v>
      </c>
      <c r="C56" s="10">
        <f t="shared" si="13"/>
        <v>0</v>
      </c>
      <c r="D56" s="10">
        <f t="shared" si="13"/>
        <v>0</v>
      </c>
      <c r="E56" s="10">
        <f t="shared" si="13"/>
        <v>0</v>
      </c>
      <c r="F56" s="10">
        <f t="shared" si="13"/>
        <v>0</v>
      </c>
      <c r="G56" s="10">
        <f t="shared" si="13"/>
        <v>0</v>
      </c>
      <c r="H56" s="10">
        <f t="shared" si="13"/>
        <v>0</v>
      </c>
    </row>
    <row r="57" spans="1:8">
      <c r="A57" s="10">
        <f t="shared" si="11"/>
        <v>0</v>
      </c>
      <c r="B57" s="10">
        <f t="shared" si="12"/>
        <v>0</v>
      </c>
      <c r="C57" s="10">
        <f t="shared" si="13"/>
        <v>0</v>
      </c>
      <c r="D57" s="10">
        <f t="shared" si="13"/>
        <v>0</v>
      </c>
      <c r="E57" s="10">
        <f t="shared" si="13"/>
        <v>0</v>
      </c>
      <c r="F57" s="10">
        <f t="shared" si="13"/>
        <v>0</v>
      </c>
      <c r="G57" s="10">
        <f t="shared" si="13"/>
        <v>0</v>
      </c>
      <c r="H57" s="10">
        <f t="shared" si="13"/>
        <v>0</v>
      </c>
    </row>
    <row r="58" spans="1:8">
      <c r="A58" s="10">
        <f t="shared" si="11"/>
        <v>0</v>
      </c>
      <c r="B58" s="10">
        <f t="shared" si="12"/>
        <v>0</v>
      </c>
      <c r="C58" s="10">
        <f t="shared" si="13"/>
        <v>0</v>
      </c>
      <c r="D58" s="10">
        <f t="shared" si="13"/>
        <v>0</v>
      </c>
      <c r="E58" s="10">
        <f t="shared" si="13"/>
        <v>0</v>
      </c>
      <c r="F58" s="10">
        <f t="shared" si="13"/>
        <v>0</v>
      </c>
      <c r="G58" s="10">
        <f t="shared" si="13"/>
        <v>0</v>
      </c>
      <c r="H58" s="10">
        <f t="shared" si="13"/>
        <v>0</v>
      </c>
    </row>
    <row r="59" spans="1:8">
      <c r="A59" s="10" t="str">
        <f>B33</f>
        <v>Groundnut</v>
      </c>
      <c r="B59" s="10">
        <f>H33*$B$40</f>
        <v>0</v>
      </c>
      <c r="C59" s="10">
        <f t="shared" si="13"/>
        <v>0</v>
      </c>
      <c r="D59" s="10">
        <f t="shared" si="13"/>
        <v>0</v>
      </c>
      <c r="E59" s="10">
        <f t="shared" si="13"/>
        <v>0</v>
      </c>
      <c r="F59" s="10">
        <f t="shared" si="13"/>
        <v>0</v>
      </c>
      <c r="G59" s="10">
        <f t="shared" si="13"/>
        <v>0</v>
      </c>
      <c r="H59" s="10">
        <f t="shared" si="13"/>
        <v>0</v>
      </c>
    </row>
    <row r="60" spans="1:8">
      <c r="A60" s="10">
        <f>B34</f>
        <v>0</v>
      </c>
      <c r="B60" s="10">
        <f>H34*$B$40</f>
        <v>0</v>
      </c>
      <c r="C60" s="10">
        <f t="shared" si="13"/>
        <v>0</v>
      </c>
      <c r="D60" s="10">
        <f t="shared" si="13"/>
        <v>0</v>
      </c>
      <c r="E60" s="10">
        <f t="shared" si="13"/>
        <v>0</v>
      </c>
      <c r="F60" s="10">
        <f t="shared" si="13"/>
        <v>0</v>
      </c>
      <c r="G60" s="10">
        <f t="shared" si="13"/>
        <v>0</v>
      </c>
      <c r="H60" s="10">
        <f t="shared" si="13"/>
        <v>0</v>
      </c>
    </row>
    <row r="61" spans="1:8">
      <c r="A61" s="10">
        <f>B35</f>
        <v>0</v>
      </c>
      <c r="B61" s="10">
        <f>H35*$B$40</f>
        <v>0</v>
      </c>
      <c r="C61" s="10">
        <f t="shared" si="13"/>
        <v>0</v>
      </c>
      <c r="D61" s="10">
        <f t="shared" si="13"/>
        <v>0</v>
      </c>
      <c r="E61" s="10">
        <f t="shared" si="13"/>
        <v>0</v>
      </c>
      <c r="F61" s="10">
        <f t="shared" si="13"/>
        <v>0</v>
      </c>
      <c r="G61" s="10">
        <f t="shared" si="13"/>
        <v>0</v>
      </c>
      <c r="H61" s="10">
        <f t="shared" si="13"/>
        <v>0</v>
      </c>
    </row>
    <row r="62" spans="1:8">
      <c r="A62" s="10">
        <f>B36</f>
        <v>0</v>
      </c>
      <c r="B62" s="10">
        <f>H36*$B$40</f>
        <v>0</v>
      </c>
      <c r="C62" s="10">
        <f t="shared" ref="C62:H62" si="14">(B62/B$40)*C$40</f>
        <v>0</v>
      </c>
      <c r="D62" s="10">
        <f t="shared" si="14"/>
        <v>0</v>
      </c>
      <c r="E62" s="10">
        <f t="shared" si="14"/>
        <v>0</v>
      </c>
      <c r="F62" s="10">
        <f t="shared" si="14"/>
        <v>0</v>
      </c>
      <c r="G62" s="10">
        <f t="shared" si="14"/>
        <v>0</v>
      </c>
      <c r="H62" s="10">
        <f t="shared" si="14"/>
        <v>0</v>
      </c>
    </row>
    <row r="64" spans="1:8" ht="18.75">
      <c r="A64" s="483" t="s">
        <v>532</v>
      </c>
      <c r="B64" s="484"/>
      <c r="C64" s="484"/>
      <c r="D64" s="484"/>
      <c r="E64" s="484"/>
      <c r="F64" s="484"/>
      <c r="G64" s="484"/>
      <c r="H64" s="485"/>
    </row>
    <row r="65" spans="1:8">
      <c r="A65" s="486" t="s">
        <v>0</v>
      </c>
      <c r="B65" s="320">
        <v>0.1</v>
      </c>
      <c r="C65" s="320">
        <f>B65+0.05</f>
        <v>0.15000000000000002</v>
      </c>
      <c r="D65" s="320">
        <f t="shared" ref="D65:G65" si="15">C65+0.05</f>
        <v>0.2</v>
      </c>
      <c r="E65" s="320">
        <f t="shared" si="15"/>
        <v>0.25</v>
      </c>
      <c r="F65" s="320">
        <f t="shared" si="15"/>
        <v>0.3</v>
      </c>
      <c r="G65" s="320">
        <f t="shared" si="15"/>
        <v>0.35</v>
      </c>
      <c r="H65" s="320">
        <f>G65+0.05</f>
        <v>0.39999999999999997</v>
      </c>
    </row>
    <row r="66" spans="1:8">
      <c r="A66" s="487"/>
      <c r="B66" s="310" t="s">
        <v>2</v>
      </c>
      <c r="C66" s="310" t="s">
        <v>3</v>
      </c>
      <c r="D66" s="310" t="s">
        <v>4</v>
      </c>
      <c r="E66" s="310" t="s">
        <v>5</v>
      </c>
      <c r="F66" s="310" t="s">
        <v>6</v>
      </c>
      <c r="G66" s="310" t="s">
        <v>134</v>
      </c>
      <c r="H66" s="310" t="s">
        <v>133</v>
      </c>
    </row>
    <row r="67" spans="1:8" s="13" customFormat="1">
      <c r="A67" s="10" t="str">
        <f t="shared" ref="A67:A87" si="16">A42</f>
        <v>Soybean</v>
      </c>
      <c r="B67" s="10">
        <f>H14*$B$65*0</f>
        <v>0</v>
      </c>
      <c r="C67" s="10">
        <f>(B67/B$65)*C$65</f>
        <v>0</v>
      </c>
      <c r="D67" s="10">
        <f t="shared" ref="D67:H68" si="17">(C67/C$65)*D$65</f>
        <v>0</v>
      </c>
      <c r="E67" s="10">
        <f t="shared" si="17"/>
        <v>0</v>
      </c>
      <c r="F67" s="10">
        <f t="shared" si="17"/>
        <v>0</v>
      </c>
      <c r="G67" s="10">
        <f t="shared" si="17"/>
        <v>0</v>
      </c>
      <c r="H67" s="10">
        <f t="shared" si="17"/>
        <v>0</v>
      </c>
    </row>
    <row r="68" spans="1:8">
      <c r="A68" s="10" t="str">
        <f t="shared" si="16"/>
        <v>Red Gram/Tur</v>
      </c>
      <c r="B68" s="10">
        <f t="shared" ref="B68:B75" si="18">H15*$B$65</f>
        <v>0</v>
      </c>
      <c r="C68" s="10">
        <f>(B68/B$65)*C$65</f>
        <v>0</v>
      </c>
      <c r="D68" s="10">
        <f t="shared" si="17"/>
        <v>0</v>
      </c>
      <c r="E68" s="10">
        <f t="shared" si="17"/>
        <v>0</v>
      </c>
      <c r="F68" s="10">
        <f t="shared" si="17"/>
        <v>0</v>
      </c>
      <c r="G68" s="10">
        <f t="shared" si="17"/>
        <v>0</v>
      </c>
      <c r="H68" s="10">
        <f t="shared" si="17"/>
        <v>0</v>
      </c>
    </row>
    <row r="69" spans="1:8">
      <c r="A69" s="10" t="str">
        <f t="shared" si="16"/>
        <v>Paddy/Rice</v>
      </c>
      <c r="B69" s="10">
        <f t="shared" si="18"/>
        <v>0</v>
      </c>
      <c r="C69" s="10">
        <f t="shared" ref="C69:H69" si="19">(B69/B$65)*C$65</f>
        <v>0</v>
      </c>
      <c r="D69" s="10">
        <f t="shared" si="19"/>
        <v>0</v>
      </c>
      <c r="E69" s="10">
        <f t="shared" si="19"/>
        <v>0</v>
      </c>
      <c r="F69" s="10">
        <f t="shared" si="19"/>
        <v>0</v>
      </c>
      <c r="G69" s="10">
        <f t="shared" si="19"/>
        <v>0</v>
      </c>
      <c r="H69" s="10">
        <f t="shared" si="19"/>
        <v>0</v>
      </c>
    </row>
    <row r="70" spans="1:8">
      <c r="A70" s="10" t="str">
        <f t="shared" si="16"/>
        <v>Green Gram/ Moong</v>
      </c>
      <c r="B70" s="10">
        <f t="shared" si="18"/>
        <v>0</v>
      </c>
      <c r="C70" s="10">
        <f t="shared" ref="C70:H70" si="20">(B70/B$65)*C$65</f>
        <v>0</v>
      </c>
      <c r="D70" s="10">
        <f t="shared" si="20"/>
        <v>0</v>
      </c>
      <c r="E70" s="10">
        <f t="shared" si="20"/>
        <v>0</v>
      </c>
      <c r="F70" s="10">
        <f t="shared" si="20"/>
        <v>0</v>
      </c>
      <c r="G70" s="10">
        <f t="shared" si="20"/>
        <v>0</v>
      </c>
      <c r="H70" s="10">
        <f t="shared" si="20"/>
        <v>0</v>
      </c>
    </row>
    <row r="71" spans="1:8">
      <c r="A71" s="10" t="str">
        <f t="shared" si="16"/>
        <v>Maize</v>
      </c>
      <c r="B71" s="10">
        <f t="shared" si="18"/>
        <v>0</v>
      </c>
      <c r="C71" s="10">
        <f t="shared" ref="C71:H71" si="21">(B71/B$65)*C$65</f>
        <v>0</v>
      </c>
      <c r="D71" s="10">
        <f t="shared" si="21"/>
        <v>0</v>
      </c>
      <c r="E71" s="10">
        <f t="shared" si="21"/>
        <v>0</v>
      </c>
      <c r="F71" s="10">
        <f t="shared" si="21"/>
        <v>0</v>
      </c>
      <c r="G71" s="10">
        <f t="shared" si="21"/>
        <v>0</v>
      </c>
      <c r="H71" s="10">
        <f t="shared" si="21"/>
        <v>0</v>
      </c>
    </row>
    <row r="72" spans="1:8">
      <c r="A72" s="10" t="str">
        <f t="shared" si="16"/>
        <v>Black Gram/Udid</v>
      </c>
      <c r="B72" s="10">
        <f t="shared" si="18"/>
        <v>0</v>
      </c>
      <c r="C72" s="10">
        <f t="shared" ref="C72:H72" si="22">(B72/B$65)*C$65</f>
        <v>0</v>
      </c>
      <c r="D72" s="10">
        <f t="shared" si="22"/>
        <v>0</v>
      </c>
      <c r="E72" s="10">
        <f t="shared" si="22"/>
        <v>0</v>
      </c>
      <c r="F72" s="10">
        <f t="shared" si="22"/>
        <v>0</v>
      </c>
      <c r="G72" s="10">
        <f t="shared" si="22"/>
        <v>0</v>
      </c>
      <c r="H72" s="10">
        <f t="shared" si="22"/>
        <v>0</v>
      </c>
    </row>
    <row r="73" spans="1:8">
      <c r="A73" s="10" t="str">
        <f t="shared" si="16"/>
        <v>Bajra</v>
      </c>
      <c r="B73" s="10">
        <f t="shared" si="18"/>
        <v>0</v>
      </c>
      <c r="C73" s="10">
        <f t="shared" ref="C73:H73" si="23">(B73/B$65)*C$65</f>
        <v>0</v>
      </c>
      <c r="D73" s="10">
        <f t="shared" si="23"/>
        <v>0</v>
      </c>
      <c r="E73" s="10">
        <f t="shared" si="23"/>
        <v>0</v>
      </c>
      <c r="F73" s="10">
        <f t="shared" si="23"/>
        <v>0</v>
      </c>
      <c r="G73" s="10">
        <f t="shared" si="23"/>
        <v>0</v>
      </c>
      <c r="H73" s="10">
        <f t="shared" si="23"/>
        <v>0</v>
      </c>
    </row>
    <row r="74" spans="1:8">
      <c r="A74" s="10" t="str">
        <f t="shared" si="16"/>
        <v>Jawar</v>
      </c>
      <c r="B74" s="10">
        <f t="shared" si="18"/>
        <v>0</v>
      </c>
      <c r="C74" s="10">
        <f t="shared" ref="C74:H74" si="24">(B74/B$65)*C$65</f>
        <v>0</v>
      </c>
      <c r="D74" s="10">
        <f t="shared" si="24"/>
        <v>0</v>
      </c>
      <c r="E74" s="10">
        <f t="shared" si="24"/>
        <v>0</v>
      </c>
      <c r="F74" s="10">
        <f t="shared" si="24"/>
        <v>0</v>
      </c>
      <c r="G74" s="10">
        <f t="shared" si="24"/>
        <v>0</v>
      </c>
      <c r="H74" s="10">
        <f t="shared" si="24"/>
        <v>0</v>
      </c>
    </row>
    <row r="75" spans="1:8">
      <c r="A75" s="10" t="str">
        <f t="shared" si="16"/>
        <v>Sunflower</v>
      </c>
      <c r="B75" s="10">
        <f t="shared" si="18"/>
        <v>0</v>
      </c>
      <c r="C75" s="10">
        <f t="shared" ref="C75:H75" si="25">(B75/B$65)*C$65</f>
        <v>0</v>
      </c>
      <c r="D75" s="10">
        <f t="shared" si="25"/>
        <v>0</v>
      </c>
      <c r="E75" s="10">
        <f t="shared" si="25"/>
        <v>0</v>
      </c>
      <c r="F75" s="10">
        <f t="shared" si="25"/>
        <v>0</v>
      </c>
      <c r="G75" s="10">
        <f t="shared" si="25"/>
        <v>0</v>
      </c>
      <c r="H75" s="10">
        <f t="shared" si="25"/>
        <v>0</v>
      </c>
    </row>
    <row r="76" spans="1:8">
      <c r="A76" s="10" t="str">
        <f t="shared" si="16"/>
        <v>Wheat</v>
      </c>
      <c r="B76" s="10">
        <f t="shared" ref="B76:B83" si="26">H24*$B$65</f>
        <v>0</v>
      </c>
      <c r="C76" s="10">
        <f t="shared" ref="C76:H76" si="27">(B76/B$65)*C$65</f>
        <v>0</v>
      </c>
      <c r="D76" s="10">
        <f t="shared" si="27"/>
        <v>0</v>
      </c>
      <c r="E76" s="10">
        <f t="shared" si="27"/>
        <v>0</v>
      </c>
      <c r="F76" s="10">
        <f t="shared" si="27"/>
        <v>0</v>
      </c>
      <c r="G76" s="10">
        <f t="shared" si="27"/>
        <v>0</v>
      </c>
      <c r="H76" s="10">
        <f t="shared" si="27"/>
        <v>0</v>
      </c>
    </row>
    <row r="77" spans="1:8">
      <c r="A77" s="10" t="str">
        <f t="shared" si="16"/>
        <v>Bengal Gram/Channa</v>
      </c>
      <c r="B77" s="10">
        <f t="shared" si="26"/>
        <v>0</v>
      </c>
      <c r="C77" s="10">
        <f t="shared" ref="C77:H77" si="28">(B77/B$65)*C$65</f>
        <v>0</v>
      </c>
      <c r="D77" s="10">
        <f t="shared" si="28"/>
        <v>0</v>
      </c>
      <c r="E77" s="10">
        <f t="shared" si="28"/>
        <v>0</v>
      </c>
      <c r="F77" s="10">
        <f t="shared" si="28"/>
        <v>0</v>
      </c>
      <c r="G77" s="10">
        <f t="shared" si="28"/>
        <v>0</v>
      </c>
      <c r="H77" s="10">
        <f t="shared" si="28"/>
        <v>0</v>
      </c>
    </row>
    <row r="78" spans="1:8">
      <c r="A78" s="10" t="str">
        <f t="shared" si="16"/>
        <v>Jawar</v>
      </c>
      <c r="B78" s="10">
        <f t="shared" si="26"/>
        <v>0</v>
      </c>
      <c r="C78" s="10">
        <f t="shared" ref="C78:H78" si="29">(B78/B$65)*C$65</f>
        <v>0</v>
      </c>
      <c r="D78" s="10">
        <f t="shared" si="29"/>
        <v>0</v>
      </c>
      <c r="E78" s="10">
        <f t="shared" si="29"/>
        <v>0</v>
      </c>
      <c r="F78" s="10">
        <f t="shared" si="29"/>
        <v>0</v>
      </c>
      <c r="G78" s="10">
        <f t="shared" si="29"/>
        <v>0</v>
      </c>
      <c r="H78" s="10">
        <f t="shared" si="29"/>
        <v>0</v>
      </c>
    </row>
    <row r="79" spans="1:8">
      <c r="A79" s="10" t="str">
        <f t="shared" si="16"/>
        <v>Maize</v>
      </c>
      <c r="B79" s="10">
        <f t="shared" si="26"/>
        <v>0</v>
      </c>
      <c r="C79" s="10">
        <f t="shared" ref="C79:H79" si="30">(B79/B$65)*C$65</f>
        <v>0</v>
      </c>
      <c r="D79" s="10">
        <f t="shared" si="30"/>
        <v>0</v>
      </c>
      <c r="E79" s="10">
        <f t="shared" si="30"/>
        <v>0</v>
      </c>
      <c r="F79" s="10">
        <f t="shared" si="30"/>
        <v>0</v>
      </c>
      <c r="G79" s="10">
        <f t="shared" si="30"/>
        <v>0</v>
      </c>
      <c r="H79" s="10">
        <f t="shared" si="30"/>
        <v>0</v>
      </c>
    </row>
    <row r="80" spans="1:8">
      <c r="A80" s="10" t="str">
        <f t="shared" si="16"/>
        <v>Safflower</v>
      </c>
      <c r="B80" s="10">
        <f t="shared" si="26"/>
        <v>0</v>
      </c>
      <c r="C80" s="10">
        <f t="shared" ref="C80:H80" si="31">(B80/B$65)*C$65</f>
        <v>0</v>
      </c>
      <c r="D80" s="10">
        <f t="shared" si="31"/>
        <v>0</v>
      </c>
      <c r="E80" s="10">
        <f t="shared" si="31"/>
        <v>0</v>
      </c>
      <c r="F80" s="10">
        <f t="shared" si="31"/>
        <v>0</v>
      </c>
      <c r="G80" s="10">
        <f t="shared" si="31"/>
        <v>0</v>
      </c>
      <c r="H80" s="10">
        <f t="shared" si="31"/>
        <v>0</v>
      </c>
    </row>
    <row r="81" spans="1:9">
      <c r="A81" s="10">
        <f t="shared" si="16"/>
        <v>0</v>
      </c>
      <c r="B81" s="10">
        <f t="shared" si="26"/>
        <v>0</v>
      </c>
      <c r="C81" s="10">
        <f t="shared" ref="C81:H81" si="32">(B81/B$65)*C$65</f>
        <v>0</v>
      </c>
      <c r="D81" s="10">
        <f t="shared" si="32"/>
        <v>0</v>
      </c>
      <c r="E81" s="10">
        <f t="shared" si="32"/>
        <v>0</v>
      </c>
      <c r="F81" s="10">
        <f t="shared" si="32"/>
        <v>0</v>
      </c>
      <c r="G81" s="10">
        <f t="shared" si="32"/>
        <v>0</v>
      </c>
      <c r="H81" s="10">
        <f t="shared" si="32"/>
        <v>0</v>
      </c>
    </row>
    <row r="82" spans="1:9">
      <c r="A82" s="10">
        <f t="shared" si="16"/>
        <v>0</v>
      </c>
      <c r="B82" s="10">
        <f t="shared" si="26"/>
        <v>0</v>
      </c>
      <c r="C82" s="10">
        <f t="shared" ref="C82:H82" si="33">(B82/B$65)*C$65</f>
        <v>0</v>
      </c>
      <c r="D82" s="10">
        <f t="shared" si="33"/>
        <v>0</v>
      </c>
      <c r="E82" s="10">
        <f t="shared" si="33"/>
        <v>0</v>
      </c>
      <c r="F82" s="10">
        <f t="shared" si="33"/>
        <v>0</v>
      </c>
      <c r="G82" s="10">
        <f t="shared" si="33"/>
        <v>0</v>
      </c>
      <c r="H82" s="10">
        <f t="shared" si="33"/>
        <v>0</v>
      </c>
    </row>
    <row r="83" spans="1:9">
      <c r="A83" s="10">
        <f t="shared" si="16"/>
        <v>0</v>
      </c>
      <c r="B83" s="10">
        <f t="shared" si="26"/>
        <v>0</v>
      </c>
      <c r="C83" s="10">
        <f t="shared" ref="C83:H83" si="34">(B83/B$65)*C$65</f>
        <v>0</v>
      </c>
      <c r="D83" s="10">
        <f t="shared" si="34"/>
        <v>0</v>
      </c>
      <c r="E83" s="10">
        <f t="shared" si="34"/>
        <v>0</v>
      </c>
      <c r="F83" s="10">
        <f t="shared" si="34"/>
        <v>0</v>
      </c>
      <c r="G83" s="10">
        <f t="shared" si="34"/>
        <v>0</v>
      </c>
      <c r="H83" s="10">
        <f t="shared" si="34"/>
        <v>0</v>
      </c>
    </row>
    <row r="84" spans="1:9">
      <c r="A84" s="10" t="str">
        <f t="shared" si="16"/>
        <v>Groundnut</v>
      </c>
      <c r="B84" s="10">
        <f>H33*$B$65</f>
        <v>0</v>
      </c>
      <c r="C84" s="10">
        <f t="shared" ref="C84:H84" si="35">(B84/B$65)*C$65</f>
        <v>0</v>
      </c>
      <c r="D84" s="10">
        <f t="shared" si="35"/>
        <v>0</v>
      </c>
      <c r="E84" s="10">
        <f t="shared" si="35"/>
        <v>0</v>
      </c>
      <c r="F84" s="10">
        <f t="shared" si="35"/>
        <v>0</v>
      </c>
      <c r="G84" s="10">
        <f t="shared" si="35"/>
        <v>0</v>
      </c>
      <c r="H84" s="10">
        <f t="shared" si="35"/>
        <v>0</v>
      </c>
    </row>
    <row r="85" spans="1:9">
      <c r="A85" s="10">
        <f t="shared" si="16"/>
        <v>0</v>
      </c>
      <c r="B85" s="10">
        <f>H34*$B$65</f>
        <v>0</v>
      </c>
      <c r="C85" s="10">
        <f t="shared" ref="C85:H85" si="36">(B85/B$65)*C$65</f>
        <v>0</v>
      </c>
      <c r="D85" s="10">
        <f t="shared" si="36"/>
        <v>0</v>
      </c>
      <c r="E85" s="10">
        <f t="shared" si="36"/>
        <v>0</v>
      </c>
      <c r="F85" s="10">
        <f t="shared" si="36"/>
        <v>0</v>
      </c>
      <c r="G85" s="10">
        <f t="shared" si="36"/>
        <v>0</v>
      </c>
      <c r="H85" s="10">
        <f t="shared" si="36"/>
        <v>0</v>
      </c>
    </row>
    <row r="86" spans="1:9">
      <c r="A86" s="10">
        <f t="shared" si="16"/>
        <v>0</v>
      </c>
      <c r="B86" s="10">
        <f>H35*$B$65</f>
        <v>0</v>
      </c>
      <c r="C86" s="10">
        <f t="shared" ref="C86:H86" si="37">(B86/B$65)*C$65</f>
        <v>0</v>
      </c>
      <c r="D86" s="10">
        <f t="shared" si="37"/>
        <v>0</v>
      </c>
      <c r="E86" s="10">
        <f t="shared" si="37"/>
        <v>0</v>
      </c>
      <c r="F86" s="10">
        <f t="shared" si="37"/>
        <v>0</v>
      </c>
      <c r="G86" s="10">
        <f t="shared" si="37"/>
        <v>0</v>
      </c>
      <c r="H86" s="10">
        <f t="shared" si="37"/>
        <v>0</v>
      </c>
    </row>
    <row r="87" spans="1:9">
      <c r="A87" s="10">
        <f t="shared" si="16"/>
        <v>0</v>
      </c>
      <c r="B87" s="10">
        <f>H36*$B$65</f>
        <v>0</v>
      </c>
      <c r="C87" s="10">
        <f t="shared" ref="C87:H87" si="38">(B87/B$65)*C$65</f>
        <v>0</v>
      </c>
      <c r="D87" s="10">
        <f t="shared" si="38"/>
        <v>0</v>
      </c>
      <c r="E87" s="10">
        <f t="shared" si="38"/>
        <v>0</v>
      </c>
      <c r="F87" s="10">
        <f t="shared" si="38"/>
        <v>0</v>
      </c>
      <c r="G87" s="10">
        <f t="shared" si="38"/>
        <v>0</v>
      </c>
      <c r="H87" s="10">
        <f t="shared" si="38"/>
        <v>0</v>
      </c>
    </row>
    <row r="88" spans="1:9">
      <c r="B88" s="298"/>
      <c r="C88" s="298"/>
      <c r="D88" s="298"/>
      <c r="E88" s="298"/>
      <c r="F88" s="298"/>
      <c r="G88" s="298"/>
      <c r="H88" s="298"/>
      <c r="I88" s="298"/>
    </row>
    <row r="89" spans="1:9">
      <c r="A89" s="488" t="s">
        <v>533</v>
      </c>
      <c r="B89" s="489"/>
      <c r="C89" s="489"/>
      <c r="D89" s="489"/>
      <c r="E89" s="489"/>
      <c r="F89" s="489"/>
      <c r="G89" s="489"/>
      <c r="H89" s="490"/>
    </row>
    <row r="90" spans="1:9">
      <c r="A90" s="472" t="s">
        <v>0</v>
      </c>
      <c r="B90" s="344">
        <v>0.65</v>
      </c>
      <c r="C90" s="345">
        <f>B90+0.05</f>
        <v>0.70000000000000007</v>
      </c>
      <c r="D90" s="345">
        <f t="shared" ref="D90:G90" si="39">C90+0.05</f>
        <v>0.75000000000000011</v>
      </c>
      <c r="E90" s="345">
        <f t="shared" si="39"/>
        <v>0.80000000000000016</v>
      </c>
      <c r="F90" s="345">
        <f t="shared" si="39"/>
        <v>0.8500000000000002</v>
      </c>
      <c r="G90" s="345">
        <f t="shared" si="39"/>
        <v>0.90000000000000024</v>
      </c>
      <c r="H90" s="345">
        <f>G90+0.05</f>
        <v>0.95000000000000029</v>
      </c>
    </row>
    <row r="91" spans="1:9">
      <c r="A91" s="473"/>
      <c r="B91" s="310" t="s">
        <v>2</v>
      </c>
      <c r="C91" s="310" t="s">
        <v>3</v>
      </c>
      <c r="D91" s="310" t="s">
        <v>4</v>
      </c>
      <c r="E91" s="310" t="s">
        <v>5</v>
      </c>
      <c r="F91" s="310" t="s">
        <v>6</v>
      </c>
      <c r="G91" s="310" t="s">
        <v>134</v>
      </c>
      <c r="H91" s="310" t="s">
        <v>133</v>
      </c>
    </row>
    <row r="92" spans="1:9" s="13" customFormat="1">
      <c r="A92" s="10" t="str">
        <f t="shared" ref="A92:A112" si="40">A67</f>
        <v>Soybean</v>
      </c>
      <c r="B92" s="10">
        <f t="shared" ref="B92:B100" si="41">D14*$B$90</f>
        <v>0</v>
      </c>
      <c r="C92" s="307">
        <f t="shared" ref="C92:H92" si="42">(B92/B$90)*C$90</f>
        <v>0</v>
      </c>
      <c r="D92" s="307">
        <f t="shared" si="42"/>
        <v>0</v>
      </c>
      <c r="E92" s="307">
        <f t="shared" si="42"/>
        <v>0</v>
      </c>
      <c r="F92" s="307">
        <f t="shared" si="42"/>
        <v>0</v>
      </c>
      <c r="G92" s="307">
        <f t="shared" si="42"/>
        <v>0</v>
      </c>
      <c r="H92" s="307">
        <f t="shared" si="42"/>
        <v>0</v>
      </c>
    </row>
    <row r="93" spans="1:9">
      <c r="A93" s="10" t="str">
        <f t="shared" si="40"/>
        <v>Red Gram/Tur</v>
      </c>
      <c r="B93" s="10">
        <f t="shared" si="41"/>
        <v>0</v>
      </c>
      <c r="C93" s="307">
        <f t="shared" ref="C93:C113" si="43">(B93/B$90)*C$90</f>
        <v>0</v>
      </c>
      <c r="D93" s="307">
        <f>(C93/C90)*D90</f>
        <v>0</v>
      </c>
      <c r="E93" s="307">
        <f t="shared" ref="E93:G93" si="44">(D93/D90)*E90</f>
        <v>0</v>
      </c>
      <c r="F93" s="307">
        <f t="shared" si="44"/>
        <v>0</v>
      </c>
      <c r="G93" s="307">
        <f t="shared" si="44"/>
        <v>0</v>
      </c>
      <c r="H93" s="307">
        <f>(G93/G90)*H90</f>
        <v>0</v>
      </c>
    </row>
    <row r="94" spans="1:9">
      <c r="A94" s="10" t="str">
        <f t="shared" si="40"/>
        <v>Paddy/Rice</v>
      </c>
      <c r="B94" s="10">
        <f t="shared" si="41"/>
        <v>0</v>
      </c>
      <c r="C94" s="307">
        <f t="shared" si="43"/>
        <v>0</v>
      </c>
      <c r="D94" s="307">
        <f t="shared" ref="D94:H103" si="45">(C94/C$90)*D$90</f>
        <v>0</v>
      </c>
      <c r="E94" s="307">
        <f t="shared" si="45"/>
        <v>0</v>
      </c>
      <c r="F94" s="307">
        <f t="shared" si="45"/>
        <v>0</v>
      </c>
      <c r="G94" s="307">
        <f t="shared" si="45"/>
        <v>0</v>
      </c>
      <c r="H94" s="307">
        <f t="shared" si="45"/>
        <v>0</v>
      </c>
    </row>
    <row r="95" spans="1:9">
      <c r="A95" s="10" t="str">
        <f t="shared" si="40"/>
        <v>Green Gram/ Moong</v>
      </c>
      <c r="B95" s="10">
        <f t="shared" si="41"/>
        <v>0</v>
      </c>
      <c r="C95" s="307">
        <f t="shared" si="43"/>
        <v>0</v>
      </c>
      <c r="D95" s="307">
        <f t="shared" si="45"/>
        <v>0</v>
      </c>
      <c r="E95" s="307">
        <f t="shared" si="45"/>
        <v>0</v>
      </c>
      <c r="F95" s="307">
        <f t="shared" si="45"/>
        <v>0</v>
      </c>
      <c r="G95" s="307">
        <f t="shared" si="45"/>
        <v>0</v>
      </c>
      <c r="H95" s="307">
        <f t="shared" si="45"/>
        <v>0</v>
      </c>
    </row>
    <row r="96" spans="1:9">
      <c r="A96" s="10" t="str">
        <f t="shared" si="40"/>
        <v>Maize</v>
      </c>
      <c r="B96" s="307">
        <f t="shared" si="41"/>
        <v>0</v>
      </c>
      <c r="C96" s="307">
        <f t="shared" si="43"/>
        <v>0</v>
      </c>
      <c r="D96" s="307">
        <f t="shared" si="45"/>
        <v>0</v>
      </c>
      <c r="E96" s="307">
        <f t="shared" si="45"/>
        <v>0</v>
      </c>
      <c r="F96" s="307">
        <f t="shared" si="45"/>
        <v>0</v>
      </c>
      <c r="G96" s="307">
        <f t="shared" si="45"/>
        <v>0</v>
      </c>
      <c r="H96" s="307">
        <f t="shared" si="45"/>
        <v>0</v>
      </c>
    </row>
    <row r="97" spans="1:8">
      <c r="A97" s="10" t="str">
        <f t="shared" si="40"/>
        <v>Black Gram/Udid</v>
      </c>
      <c r="B97" s="10">
        <f t="shared" si="41"/>
        <v>0</v>
      </c>
      <c r="C97" s="307">
        <f t="shared" si="43"/>
        <v>0</v>
      </c>
      <c r="D97" s="307">
        <f t="shared" si="45"/>
        <v>0</v>
      </c>
      <c r="E97" s="307">
        <f t="shared" si="45"/>
        <v>0</v>
      </c>
      <c r="F97" s="307">
        <f t="shared" si="45"/>
        <v>0</v>
      </c>
      <c r="G97" s="307">
        <f t="shared" si="45"/>
        <v>0</v>
      </c>
      <c r="H97" s="307">
        <f t="shared" si="45"/>
        <v>0</v>
      </c>
    </row>
    <row r="98" spans="1:8">
      <c r="A98" s="10" t="str">
        <f t="shared" si="40"/>
        <v>Bajra</v>
      </c>
      <c r="B98" s="10">
        <f t="shared" si="41"/>
        <v>0</v>
      </c>
      <c r="C98" s="307">
        <f t="shared" si="43"/>
        <v>0</v>
      </c>
      <c r="D98" s="307">
        <f t="shared" si="45"/>
        <v>0</v>
      </c>
      <c r="E98" s="307">
        <f t="shared" si="45"/>
        <v>0</v>
      </c>
      <c r="F98" s="307">
        <f t="shared" si="45"/>
        <v>0</v>
      </c>
      <c r="G98" s="307">
        <f t="shared" si="45"/>
        <v>0</v>
      </c>
      <c r="H98" s="307">
        <f t="shared" si="45"/>
        <v>0</v>
      </c>
    </row>
    <row r="99" spans="1:8">
      <c r="A99" s="10" t="str">
        <f t="shared" si="40"/>
        <v>Jawar</v>
      </c>
      <c r="B99" s="10">
        <f t="shared" si="41"/>
        <v>0</v>
      </c>
      <c r="C99" s="307">
        <f t="shared" si="43"/>
        <v>0</v>
      </c>
      <c r="D99" s="307">
        <f t="shared" si="45"/>
        <v>0</v>
      </c>
      <c r="E99" s="307">
        <f t="shared" si="45"/>
        <v>0</v>
      </c>
      <c r="F99" s="307">
        <f t="shared" si="45"/>
        <v>0</v>
      </c>
      <c r="G99" s="307">
        <f t="shared" si="45"/>
        <v>0</v>
      </c>
      <c r="H99" s="307">
        <f t="shared" si="45"/>
        <v>0</v>
      </c>
    </row>
    <row r="100" spans="1:8">
      <c r="A100" s="10" t="str">
        <f t="shared" si="40"/>
        <v>Sunflower</v>
      </c>
      <c r="B100" s="10">
        <f t="shared" si="41"/>
        <v>0</v>
      </c>
      <c r="C100" s="307">
        <f t="shared" si="43"/>
        <v>0</v>
      </c>
      <c r="D100" s="307">
        <f t="shared" si="45"/>
        <v>0</v>
      </c>
      <c r="E100" s="307">
        <f t="shared" si="45"/>
        <v>0</v>
      </c>
      <c r="F100" s="307">
        <f t="shared" si="45"/>
        <v>0</v>
      </c>
      <c r="G100" s="307">
        <f t="shared" si="45"/>
        <v>0</v>
      </c>
      <c r="H100" s="307">
        <f t="shared" si="45"/>
        <v>0</v>
      </c>
    </row>
    <row r="101" spans="1:8">
      <c r="A101" s="10" t="str">
        <f t="shared" si="40"/>
        <v>Wheat</v>
      </c>
      <c r="B101" s="10">
        <f t="shared" ref="B101:B108" si="46">D24*$B$90</f>
        <v>0</v>
      </c>
      <c r="C101" s="307">
        <f t="shared" si="43"/>
        <v>0</v>
      </c>
      <c r="D101" s="307">
        <f t="shared" si="45"/>
        <v>0</v>
      </c>
      <c r="E101" s="307">
        <f t="shared" si="45"/>
        <v>0</v>
      </c>
      <c r="F101" s="307">
        <f t="shared" si="45"/>
        <v>0</v>
      </c>
      <c r="G101" s="307">
        <f t="shared" si="45"/>
        <v>0</v>
      </c>
      <c r="H101" s="307">
        <f t="shared" si="45"/>
        <v>0</v>
      </c>
    </row>
    <row r="102" spans="1:8">
      <c r="A102" s="10" t="str">
        <f t="shared" si="40"/>
        <v>Bengal Gram/Channa</v>
      </c>
      <c r="B102" s="10">
        <f t="shared" si="46"/>
        <v>0</v>
      </c>
      <c r="C102" s="307">
        <f t="shared" si="43"/>
        <v>0</v>
      </c>
      <c r="D102" s="307">
        <f t="shared" si="45"/>
        <v>0</v>
      </c>
      <c r="E102" s="307">
        <f t="shared" si="45"/>
        <v>0</v>
      </c>
      <c r="F102" s="307">
        <f t="shared" si="45"/>
        <v>0</v>
      </c>
      <c r="G102" s="307">
        <f t="shared" si="45"/>
        <v>0</v>
      </c>
      <c r="H102" s="307">
        <f t="shared" si="45"/>
        <v>0</v>
      </c>
    </row>
    <row r="103" spans="1:8">
      <c r="A103" s="10" t="str">
        <f t="shared" si="40"/>
        <v>Jawar</v>
      </c>
      <c r="B103" s="10">
        <f t="shared" si="46"/>
        <v>0</v>
      </c>
      <c r="C103" s="307">
        <f t="shared" si="43"/>
        <v>0</v>
      </c>
      <c r="D103" s="307">
        <f t="shared" si="45"/>
        <v>0</v>
      </c>
      <c r="E103" s="307">
        <f t="shared" si="45"/>
        <v>0</v>
      </c>
      <c r="F103" s="307">
        <f t="shared" si="45"/>
        <v>0</v>
      </c>
      <c r="G103" s="307">
        <f t="shared" si="45"/>
        <v>0</v>
      </c>
      <c r="H103" s="307">
        <f t="shared" si="45"/>
        <v>0</v>
      </c>
    </row>
    <row r="104" spans="1:8">
      <c r="A104" s="10" t="str">
        <f t="shared" si="40"/>
        <v>Maize</v>
      </c>
      <c r="B104" s="10">
        <f t="shared" si="46"/>
        <v>0</v>
      </c>
      <c r="C104" s="307">
        <f t="shared" si="43"/>
        <v>0</v>
      </c>
      <c r="D104" s="307">
        <f t="shared" ref="D104:H113" si="47">(C104/C$90)*D$90</f>
        <v>0</v>
      </c>
      <c r="E104" s="307">
        <f t="shared" si="47"/>
        <v>0</v>
      </c>
      <c r="F104" s="307">
        <f t="shared" si="47"/>
        <v>0</v>
      </c>
      <c r="G104" s="307">
        <f t="shared" si="47"/>
        <v>0</v>
      </c>
      <c r="H104" s="307">
        <f t="shared" si="47"/>
        <v>0</v>
      </c>
    </row>
    <row r="105" spans="1:8">
      <c r="A105" s="10" t="str">
        <f t="shared" si="40"/>
        <v>Safflower</v>
      </c>
      <c r="B105" s="10">
        <f t="shared" si="46"/>
        <v>0</v>
      </c>
      <c r="C105" s="307">
        <f t="shared" si="43"/>
        <v>0</v>
      </c>
      <c r="D105" s="307">
        <f t="shared" si="47"/>
        <v>0</v>
      </c>
      <c r="E105" s="307">
        <f t="shared" si="47"/>
        <v>0</v>
      </c>
      <c r="F105" s="307">
        <f t="shared" si="47"/>
        <v>0</v>
      </c>
      <c r="G105" s="307">
        <f t="shared" si="47"/>
        <v>0</v>
      </c>
      <c r="H105" s="307">
        <f t="shared" si="47"/>
        <v>0</v>
      </c>
    </row>
    <row r="106" spans="1:8">
      <c r="A106" s="10">
        <f t="shared" si="40"/>
        <v>0</v>
      </c>
      <c r="B106" s="10">
        <f t="shared" si="46"/>
        <v>0</v>
      </c>
      <c r="C106" s="307">
        <f t="shared" si="43"/>
        <v>0</v>
      </c>
      <c r="D106" s="307">
        <f t="shared" si="47"/>
        <v>0</v>
      </c>
      <c r="E106" s="307">
        <f t="shared" si="47"/>
        <v>0</v>
      </c>
      <c r="F106" s="307">
        <f t="shared" si="47"/>
        <v>0</v>
      </c>
      <c r="G106" s="307">
        <f t="shared" si="47"/>
        <v>0</v>
      </c>
      <c r="H106" s="307">
        <f t="shared" si="47"/>
        <v>0</v>
      </c>
    </row>
    <row r="107" spans="1:8">
      <c r="A107" s="10">
        <f t="shared" si="40"/>
        <v>0</v>
      </c>
      <c r="B107" s="10">
        <f t="shared" si="46"/>
        <v>0</v>
      </c>
      <c r="C107" s="307">
        <f t="shared" si="43"/>
        <v>0</v>
      </c>
      <c r="D107" s="307">
        <f t="shared" si="47"/>
        <v>0</v>
      </c>
      <c r="E107" s="307">
        <f t="shared" si="47"/>
        <v>0</v>
      </c>
      <c r="F107" s="307">
        <f t="shared" si="47"/>
        <v>0</v>
      </c>
      <c r="G107" s="307">
        <f t="shared" si="47"/>
        <v>0</v>
      </c>
      <c r="H107" s="307">
        <f t="shared" si="47"/>
        <v>0</v>
      </c>
    </row>
    <row r="108" spans="1:8">
      <c r="A108" s="10">
        <f t="shared" si="40"/>
        <v>0</v>
      </c>
      <c r="B108" s="10">
        <f t="shared" si="46"/>
        <v>0</v>
      </c>
      <c r="C108" s="307">
        <f t="shared" si="43"/>
        <v>0</v>
      </c>
      <c r="D108" s="307">
        <f t="shared" si="47"/>
        <v>0</v>
      </c>
      <c r="E108" s="307">
        <f t="shared" si="47"/>
        <v>0</v>
      </c>
      <c r="F108" s="307">
        <f t="shared" si="47"/>
        <v>0</v>
      </c>
      <c r="G108" s="307">
        <f t="shared" si="47"/>
        <v>0</v>
      </c>
      <c r="H108" s="307">
        <f t="shared" si="47"/>
        <v>0</v>
      </c>
    </row>
    <row r="109" spans="1:8">
      <c r="A109" s="10" t="str">
        <f t="shared" si="40"/>
        <v>Groundnut</v>
      </c>
      <c r="B109" s="10">
        <f>D33*$B$90</f>
        <v>0</v>
      </c>
      <c r="C109" s="307">
        <f t="shared" si="43"/>
        <v>0</v>
      </c>
      <c r="D109" s="307">
        <f t="shared" si="47"/>
        <v>0</v>
      </c>
      <c r="E109" s="307">
        <f t="shared" si="47"/>
        <v>0</v>
      </c>
      <c r="F109" s="307">
        <f t="shared" si="47"/>
        <v>0</v>
      </c>
      <c r="G109" s="307">
        <f t="shared" si="47"/>
        <v>0</v>
      </c>
      <c r="H109" s="307">
        <f t="shared" si="47"/>
        <v>0</v>
      </c>
    </row>
    <row r="110" spans="1:8">
      <c r="A110" s="10">
        <f t="shared" si="40"/>
        <v>0</v>
      </c>
      <c r="B110" s="10">
        <f>D34*$B$90</f>
        <v>0</v>
      </c>
      <c r="C110" s="307">
        <f t="shared" si="43"/>
        <v>0</v>
      </c>
      <c r="D110" s="307">
        <f t="shared" si="47"/>
        <v>0</v>
      </c>
      <c r="E110" s="307">
        <f t="shared" si="47"/>
        <v>0</v>
      </c>
      <c r="F110" s="307">
        <f t="shared" si="47"/>
        <v>0</v>
      </c>
      <c r="G110" s="307">
        <f t="shared" si="47"/>
        <v>0</v>
      </c>
      <c r="H110" s="307">
        <f t="shared" si="47"/>
        <v>0</v>
      </c>
    </row>
    <row r="111" spans="1:8">
      <c r="A111" s="10">
        <f t="shared" si="40"/>
        <v>0</v>
      </c>
      <c r="B111" s="10">
        <f>D34*$B$90</f>
        <v>0</v>
      </c>
      <c r="C111" s="307">
        <f t="shared" si="43"/>
        <v>0</v>
      </c>
      <c r="D111" s="307">
        <f t="shared" si="47"/>
        <v>0</v>
      </c>
      <c r="E111" s="307">
        <f t="shared" si="47"/>
        <v>0</v>
      </c>
      <c r="F111" s="307">
        <f t="shared" si="47"/>
        <v>0</v>
      </c>
      <c r="G111" s="307">
        <f t="shared" si="47"/>
        <v>0</v>
      </c>
      <c r="H111" s="307">
        <f t="shared" si="47"/>
        <v>0</v>
      </c>
    </row>
    <row r="112" spans="1:8">
      <c r="A112" s="10">
        <f t="shared" si="40"/>
        <v>0</v>
      </c>
      <c r="B112" s="10">
        <f>D36*$B$90</f>
        <v>0</v>
      </c>
      <c r="C112" s="307">
        <f t="shared" si="43"/>
        <v>0</v>
      </c>
      <c r="D112" s="307">
        <f t="shared" si="47"/>
        <v>0</v>
      </c>
      <c r="E112" s="307">
        <f t="shared" si="47"/>
        <v>0</v>
      </c>
      <c r="F112" s="307">
        <f t="shared" si="47"/>
        <v>0</v>
      </c>
      <c r="G112" s="307">
        <f t="shared" si="47"/>
        <v>0</v>
      </c>
      <c r="H112" s="307">
        <f t="shared" si="47"/>
        <v>0</v>
      </c>
    </row>
    <row r="113" spans="1:9">
      <c r="A113" s="10"/>
      <c r="B113" s="10">
        <f>D37*$B$90</f>
        <v>0</v>
      </c>
      <c r="C113" s="307">
        <f t="shared" si="43"/>
        <v>0</v>
      </c>
      <c r="D113" s="307">
        <f t="shared" si="47"/>
        <v>0</v>
      </c>
      <c r="E113" s="307">
        <f t="shared" si="47"/>
        <v>0</v>
      </c>
      <c r="F113" s="307">
        <f t="shared" si="47"/>
        <v>0</v>
      </c>
      <c r="G113" s="307">
        <f t="shared" si="47"/>
        <v>0</v>
      </c>
      <c r="H113" s="307">
        <f t="shared" si="47"/>
        <v>0</v>
      </c>
    </row>
    <row r="115" spans="1:9">
      <c r="C115" s="4"/>
      <c r="D115" s="6"/>
      <c r="E115" s="6"/>
      <c r="F115" s="6"/>
      <c r="G115" s="6"/>
      <c r="H115" s="6"/>
      <c r="I115" s="6"/>
    </row>
    <row r="116" spans="1:9">
      <c r="A116" t="s">
        <v>501</v>
      </c>
      <c r="C116" s="308"/>
      <c r="D116" s="308"/>
      <c r="E116" s="308"/>
      <c r="F116" s="308"/>
      <c r="G116" s="308"/>
      <c r="H116" s="308"/>
      <c r="I116" s="308"/>
    </row>
    <row r="117" spans="1:9">
      <c r="A117">
        <v>1</v>
      </c>
      <c r="B117" t="s">
        <v>555</v>
      </c>
    </row>
    <row r="118" spans="1:9">
      <c r="A118">
        <v>2</v>
      </c>
      <c r="B118" t="s">
        <v>556</v>
      </c>
    </row>
    <row r="119" spans="1:9">
      <c r="A119">
        <v>3</v>
      </c>
      <c r="B119" t="s">
        <v>504</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12"/>
  <sheetViews>
    <sheetView view="pageBreakPreview" zoomScale="85" zoomScaleNormal="100" zoomScaleSheetLayoutView="85" workbookViewId="0">
      <selection sqref="A1:H69"/>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5" t="s">
        <v>463</v>
      </c>
      <c r="B1" s="425"/>
      <c r="C1" s="425"/>
      <c r="D1" s="425"/>
      <c r="E1" s="425"/>
      <c r="F1" s="425"/>
      <c r="G1" s="425"/>
      <c r="H1" s="425"/>
    </row>
    <row r="2" spans="1:26">
      <c r="B2" s="4"/>
    </row>
    <row r="3" spans="1:26" ht="18.75">
      <c r="A3" s="471" t="s">
        <v>534</v>
      </c>
      <c r="B3" s="471"/>
    </row>
    <row r="4" spans="1:26">
      <c r="A4" s="292" t="s">
        <v>0</v>
      </c>
      <c r="B4" s="310" t="s">
        <v>351</v>
      </c>
      <c r="C4" s="311"/>
      <c r="D4" s="311"/>
      <c r="E4" s="311"/>
      <c r="F4" s="311"/>
      <c r="G4" s="311"/>
      <c r="H4" s="311"/>
    </row>
    <row r="5" spans="1:26">
      <c r="A5" s="10" t="s">
        <v>456</v>
      </c>
      <c r="B5" s="288">
        <v>534</v>
      </c>
      <c r="C5" s="312"/>
      <c r="D5" s="313"/>
      <c r="E5" s="313"/>
      <c r="F5" s="313"/>
      <c r="G5" s="313"/>
      <c r="H5" s="313"/>
    </row>
    <row r="6" spans="1:26">
      <c r="A6" s="10" t="s">
        <v>457</v>
      </c>
      <c r="B6" s="288">
        <v>125</v>
      </c>
      <c r="C6" s="312"/>
      <c r="D6" s="313"/>
      <c r="E6" s="313"/>
      <c r="F6" s="313"/>
      <c r="G6" s="313"/>
      <c r="H6" s="313"/>
    </row>
    <row r="7" spans="1:26">
      <c r="A7" s="2" t="s">
        <v>1</v>
      </c>
      <c r="B7" s="336">
        <f>B5+B6</f>
        <v>659</v>
      </c>
      <c r="C7" s="314"/>
      <c r="D7" s="315"/>
      <c r="E7" s="315"/>
      <c r="F7" s="315"/>
      <c r="G7" s="315"/>
      <c r="H7" s="315"/>
    </row>
    <row r="8" spans="1:26">
      <c r="A8" s="2" t="s">
        <v>458</v>
      </c>
      <c r="B8" s="335">
        <v>1.5</v>
      </c>
      <c r="C8" s="314"/>
      <c r="D8" s="314"/>
      <c r="E8" s="314"/>
      <c r="F8" s="314"/>
      <c r="G8" s="314"/>
      <c r="H8" s="314"/>
    </row>
    <row r="9" spans="1:26">
      <c r="A9" s="2" t="s">
        <v>459</v>
      </c>
      <c r="B9" s="336">
        <f>B7*B8</f>
        <v>988.5</v>
      </c>
      <c r="C9" s="315"/>
      <c r="D9" s="315"/>
      <c r="E9" s="315"/>
      <c r="F9" s="315"/>
      <c r="G9" s="315"/>
      <c r="H9" s="315"/>
    </row>
    <row r="10" spans="1:26">
      <c r="J10" t="s">
        <v>422</v>
      </c>
      <c r="O10" t="s">
        <v>418</v>
      </c>
      <c r="U10" t="s">
        <v>419</v>
      </c>
      <c r="Y10" t="s">
        <v>420</v>
      </c>
      <c r="Z10" t="s">
        <v>421</v>
      </c>
    </row>
    <row r="11" spans="1:26" ht="18.75">
      <c r="A11" s="425" t="s">
        <v>535</v>
      </c>
      <c r="B11" s="425"/>
      <c r="C11" s="425"/>
      <c r="D11" s="425"/>
      <c r="E11" s="425"/>
      <c r="F11" s="425"/>
      <c r="G11" s="425"/>
      <c r="H11" s="425"/>
      <c r="I11" s="287"/>
      <c r="J11" s="287"/>
      <c r="K11" s="287"/>
      <c r="L11" s="287"/>
      <c r="M11" s="287"/>
      <c r="N11" s="287"/>
      <c r="O11" s="287"/>
      <c r="P11" s="287"/>
    </row>
    <row r="12" spans="1:26">
      <c r="J12" s="3">
        <v>0.65</v>
      </c>
      <c r="K12" s="306">
        <f>J12+0.05</f>
        <v>0.70000000000000007</v>
      </c>
      <c r="L12" s="306">
        <f t="shared" ref="L12:N12" si="0">K12+0.05</f>
        <v>0.75000000000000011</v>
      </c>
      <c r="M12" s="306">
        <f t="shared" si="0"/>
        <v>0.80000000000000016</v>
      </c>
      <c r="N12" s="306">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2" t="s">
        <v>355</v>
      </c>
      <c r="B13" s="292" t="s">
        <v>356</v>
      </c>
      <c r="C13" s="293" t="s">
        <v>415</v>
      </c>
      <c r="D13" s="293" t="s">
        <v>423</v>
      </c>
      <c r="E13" s="293" t="s">
        <v>424</v>
      </c>
      <c r="F13" s="293" t="s">
        <v>357</v>
      </c>
      <c r="G13" s="293" t="s">
        <v>603</v>
      </c>
      <c r="H13" s="293" t="s">
        <v>358</v>
      </c>
      <c r="O13" s="305" t="s">
        <v>2</v>
      </c>
      <c r="P13" s="305" t="s">
        <v>3</v>
      </c>
      <c r="Q13" s="305" t="s">
        <v>4</v>
      </c>
      <c r="R13" s="305" t="s">
        <v>5</v>
      </c>
      <c r="S13" s="305" t="s">
        <v>6</v>
      </c>
      <c r="T13" s="305" t="s">
        <v>2</v>
      </c>
      <c r="U13" s="305" t="s">
        <v>3</v>
      </c>
      <c r="V13" s="305" t="s">
        <v>4</v>
      </c>
      <c r="W13" s="305" t="s">
        <v>5</v>
      </c>
      <c r="X13" s="305" t="s">
        <v>6</v>
      </c>
    </row>
    <row r="14" spans="1:26">
      <c r="A14" s="475" t="s">
        <v>706</v>
      </c>
      <c r="B14" s="288" t="s">
        <v>709</v>
      </c>
      <c r="C14" s="303">
        <v>0.35</v>
      </c>
      <c r="D14" s="10">
        <f t="shared" ref="D14:D35" si="3">$B$9*C14</f>
        <v>345.97499999999997</v>
      </c>
      <c r="E14" s="289">
        <v>15</v>
      </c>
      <c r="F14" s="10">
        <f>D14*E14</f>
        <v>5189.6249999999991</v>
      </c>
      <c r="G14" s="304">
        <v>0.1</v>
      </c>
      <c r="H14" s="10">
        <f>(F14-F14*G14)</f>
        <v>4670.6624999999995</v>
      </c>
      <c r="J14">
        <f>$D$14*J12</f>
        <v>224.88374999999999</v>
      </c>
      <c r="K14">
        <f>$D$14*K12</f>
        <v>242.1825</v>
      </c>
      <c r="L14">
        <f>$D$14*L12</f>
        <v>259.48124999999999</v>
      </c>
      <c r="M14">
        <f>$D$14*M12</f>
        <v>276.78000000000003</v>
      </c>
      <c r="N14">
        <f>$D$14*N12</f>
        <v>294.07875000000001</v>
      </c>
    </row>
    <row r="15" spans="1:26">
      <c r="A15" s="476"/>
      <c r="B15" s="288" t="s">
        <v>454</v>
      </c>
      <c r="C15" s="303">
        <v>0.3</v>
      </c>
      <c r="D15" s="10">
        <f t="shared" si="3"/>
        <v>296.55</v>
      </c>
      <c r="E15" s="289">
        <v>7</v>
      </c>
      <c r="F15" s="10">
        <f t="shared" ref="F15:F35" si="4">D15*E15</f>
        <v>2075.85</v>
      </c>
      <c r="G15" s="304">
        <v>0.05</v>
      </c>
      <c r="H15" s="10">
        <f>(F15-F15*G15)</f>
        <v>1972.0574999999999</v>
      </c>
    </row>
    <row r="16" spans="1:26">
      <c r="A16" s="476"/>
      <c r="B16" s="288" t="s">
        <v>455</v>
      </c>
      <c r="C16" s="303">
        <v>0.35</v>
      </c>
      <c r="D16" s="10">
        <f t="shared" si="3"/>
        <v>345.97499999999997</v>
      </c>
      <c r="E16" s="289">
        <v>4</v>
      </c>
      <c r="F16" s="10">
        <f t="shared" si="4"/>
        <v>1383.8999999999999</v>
      </c>
      <c r="G16" s="304">
        <v>0</v>
      </c>
      <c r="H16" s="10">
        <f t="shared" ref="H16:H35" si="5">(F16-F16*G16)</f>
        <v>1383.8999999999999</v>
      </c>
    </row>
    <row r="17" spans="1:8">
      <c r="A17" s="476"/>
      <c r="B17" s="288"/>
      <c r="C17" s="303">
        <v>0</v>
      </c>
      <c r="D17" s="10">
        <f t="shared" si="3"/>
        <v>0</v>
      </c>
      <c r="E17" s="289">
        <v>7</v>
      </c>
      <c r="F17" s="10">
        <f t="shared" si="4"/>
        <v>0</v>
      </c>
      <c r="G17" s="304">
        <v>0.02</v>
      </c>
      <c r="H17" s="10">
        <f t="shared" si="5"/>
        <v>0</v>
      </c>
    </row>
    <row r="18" spans="1:8" hidden="1">
      <c r="A18" s="476"/>
      <c r="B18" s="288"/>
      <c r="C18" s="303">
        <v>0</v>
      </c>
      <c r="D18" s="10">
        <f t="shared" si="3"/>
        <v>0</v>
      </c>
      <c r="E18" s="289">
        <v>20</v>
      </c>
      <c r="F18" s="10">
        <f t="shared" si="4"/>
        <v>0</v>
      </c>
      <c r="G18" s="304">
        <v>0</v>
      </c>
      <c r="H18" s="10">
        <f t="shared" si="5"/>
        <v>0</v>
      </c>
    </row>
    <row r="19" spans="1:8" hidden="1">
      <c r="A19" s="476"/>
      <c r="B19" s="288"/>
      <c r="C19" s="303">
        <v>0</v>
      </c>
      <c r="D19" s="10">
        <f t="shared" si="3"/>
        <v>0</v>
      </c>
      <c r="E19" s="289">
        <v>7</v>
      </c>
      <c r="F19" s="10">
        <f t="shared" si="4"/>
        <v>0</v>
      </c>
      <c r="G19" s="304">
        <v>0.1</v>
      </c>
      <c r="H19" s="10">
        <f t="shared" si="5"/>
        <v>0</v>
      </c>
    </row>
    <row r="20" spans="1:8" hidden="1">
      <c r="A20" s="476"/>
      <c r="B20" s="288"/>
      <c r="C20" s="303">
        <v>0</v>
      </c>
      <c r="D20" s="10">
        <f t="shared" si="3"/>
        <v>0</v>
      </c>
      <c r="E20" s="289">
        <v>6</v>
      </c>
      <c r="F20" s="10">
        <f t="shared" si="4"/>
        <v>0</v>
      </c>
      <c r="G20" s="304">
        <v>0.02</v>
      </c>
      <c r="H20" s="10">
        <f t="shared" si="5"/>
        <v>0</v>
      </c>
    </row>
    <row r="21" spans="1:8" hidden="1">
      <c r="A21" s="476"/>
      <c r="B21" s="288"/>
      <c r="C21" s="303">
        <v>0</v>
      </c>
      <c r="D21" s="10">
        <f t="shared" si="3"/>
        <v>0</v>
      </c>
      <c r="E21" s="289"/>
      <c r="F21" s="10">
        <f t="shared" si="4"/>
        <v>0</v>
      </c>
      <c r="G21" s="304">
        <v>0</v>
      </c>
      <c r="H21" s="10">
        <f t="shared" si="5"/>
        <v>0</v>
      </c>
    </row>
    <row r="22" spans="1:8" hidden="1">
      <c r="A22" s="477"/>
      <c r="B22" s="288"/>
      <c r="C22" s="303">
        <v>0</v>
      </c>
      <c r="D22" s="10">
        <f t="shared" si="3"/>
        <v>0</v>
      </c>
      <c r="E22" s="289"/>
      <c r="F22" s="10">
        <f t="shared" si="4"/>
        <v>0</v>
      </c>
      <c r="G22" s="304">
        <v>0</v>
      </c>
      <c r="H22" s="10">
        <f t="shared" si="5"/>
        <v>0</v>
      </c>
    </row>
    <row r="23" spans="1:8" hidden="1">
      <c r="A23" s="334" t="s">
        <v>464</v>
      </c>
      <c r="B23" s="328"/>
      <c r="C23" s="329">
        <f>+B9-SUM(D14:D18)</f>
        <v>0</v>
      </c>
      <c r="D23" s="10"/>
      <c r="E23" s="289"/>
      <c r="F23" s="10"/>
      <c r="G23" s="304"/>
      <c r="H23" s="10"/>
    </row>
    <row r="24" spans="1:8" hidden="1">
      <c r="A24" s="475" t="s">
        <v>707</v>
      </c>
      <c r="B24" s="288" t="s">
        <v>709</v>
      </c>
      <c r="C24" s="303"/>
      <c r="D24" s="10">
        <f>C$23*C24</f>
        <v>0</v>
      </c>
      <c r="E24" s="289">
        <v>10</v>
      </c>
      <c r="F24" s="10">
        <f t="shared" si="4"/>
        <v>0</v>
      </c>
      <c r="G24" s="304">
        <v>0.1</v>
      </c>
      <c r="H24" s="10">
        <f t="shared" si="5"/>
        <v>0</v>
      </c>
    </row>
    <row r="25" spans="1:8" hidden="1">
      <c r="A25" s="476"/>
      <c r="B25" s="288" t="s">
        <v>454</v>
      </c>
      <c r="C25" s="303">
        <v>0</v>
      </c>
      <c r="D25" s="10">
        <f>C$23*C25</f>
        <v>0</v>
      </c>
      <c r="E25" s="289">
        <v>10</v>
      </c>
      <c r="F25" s="10">
        <f t="shared" si="4"/>
        <v>0</v>
      </c>
      <c r="G25" s="304">
        <v>0.1</v>
      </c>
      <c r="H25" s="10">
        <f t="shared" si="5"/>
        <v>0</v>
      </c>
    </row>
    <row r="26" spans="1:8" hidden="1">
      <c r="A26" s="476"/>
      <c r="B26" s="288" t="s">
        <v>455</v>
      </c>
      <c r="C26" s="303">
        <v>0</v>
      </c>
      <c r="D26" s="10">
        <f>C$23*C26</f>
        <v>0</v>
      </c>
      <c r="E26" s="289">
        <v>10</v>
      </c>
      <c r="F26" s="10">
        <f t="shared" si="4"/>
        <v>0</v>
      </c>
      <c r="G26" s="304">
        <v>0.05</v>
      </c>
      <c r="H26" s="10">
        <f t="shared" si="5"/>
        <v>0</v>
      </c>
    </row>
    <row r="27" spans="1:8" hidden="1">
      <c r="A27" s="476"/>
      <c r="B27" s="288"/>
      <c r="C27" s="303">
        <v>0</v>
      </c>
      <c r="D27" s="10">
        <f t="shared" ref="D27" si="6">C$23*C27</f>
        <v>0</v>
      </c>
      <c r="E27" s="289">
        <v>20</v>
      </c>
      <c r="F27" s="10">
        <f t="shared" si="4"/>
        <v>0</v>
      </c>
      <c r="G27" s="304">
        <v>0</v>
      </c>
      <c r="H27" s="10">
        <f t="shared" si="5"/>
        <v>0</v>
      </c>
    </row>
    <row r="28" spans="1:8" hidden="1">
      <c r="A28" s="334" t="s">
        <v>465</v>
      </c>
      <c r="B28" s="328"/>
      <c r="C28" s="288">
        <f>B9*B28</f>
        <v>0</v>
      </c>
      <c r="D28" s="10"/>
      <c r="E28" s="289"/>
      <c r="F28" s="10"/>
      <c r="G28" s="304"/>
      <c r="H28" s="10"/>
    </row>
    <row r="29" spans="1:8" hidden="1">
      <c r="A29" s="331" t="s">
        <v>429</v>
      </c>
      <c r="B29" s="288"/>
      <c r="C29" s="303">
        <v>0</v>
      </c>
      <c r="D29" s="10">
        <f>C$28*C29</f>
        <v>0</v>
      </c>
      <c r="E29" s="289"/>
      <c r="F29" s="10">
        <f t="shared" si="4"/>
        <v>0</v>
      </c>
      <c r="G29" s="304">
        <v>0</v>
      </c>
      <c r="H29" s="10">
        <f t="shared" si="5"/>
        <v>0</v>
      </c>
    </row>
    <row r="30" spans="1:8" hidden="1">
      <c r="A30" s="332"/>
      <c r="B30" s="288"/>
      <c r="C30" s="303">
        <v>0</v>
      </c>
      <c r="D30" s="10">
        <f>C$28*C30</f>
        <v>0</v>
      </c>
      <c r="E30" s="289"/>
      <c r="F30" s="10">
        <f t="shared" si="4"/>
        <v>0</v>
      </c>
      <c r="G30" s="304">
        <v>0</v>
      </c>
      <c r="H30" s="10">
        <f t="shared" si="5"/>
        <v>0</v>
      </c>
    </row>
    <row r="31" spans="1:8" hidden="1">
      <c r="A31" s="332"/>
      <c r="B31" s="288"/>
      <c r="C31" s="303">
        <v>0</v>
      </c>
      <c r="D31" s="10">
        <f>C$28*C31</f>
        <v>0</v>
      </c>
      <c r="E31" s="289"/>
      <c r="F31" s="10">
        <f t="shared" si="4"/>
        <v>0</v>
      </c>
      <c r="G31" s="304">
        <v>0</v>
      </c>
      <c r="H31" s="10">
        <f t="shared" si="5"/>
        <v>0</v>
      </c>
    </row>
    <row r="32" spans="1:8" hidden="1">
      <c r="A32" s="333"/>
      <c r="B32" s="288"/>
      <c r="C32" s="303">
        <v>0</v>
      </c>
      <c r="D32" s="10">
        <f>C$28*C32</f>
        <v>0</v>
      </c>
      <c r="E32" s="289"/>
      <c r="F32" s="10">
        <f t="shared" si="4"/>
        <v>0</v>
      </c>
      <c r="G32" s="304">
        <v>0</v>
      </c>
      <c r="H32" s="10">
        <f t="shared" si="5"/>
        <v>0</v>
      </c>
    </row>
    <row r="33" spans="1:8" hidden="1">
      <c r="A33" s="491" t="s">
        <v>708</v>
      </c>
      <c r="B33" s="288" t="s">
        <v>709</v>
      </c>
      <c r="C33" s="303">
        <v>0</v>
      </c>
      <c r="D33" s="10">
        <f t="shared" si="3"/>
        <v>0</v>
      </c>
      <c r="E33" s="289">
        <v>6</v>
      </c>
      <c r="F33" s="10">
        <f t="shared" si="4"/>
        <v>0</v>
      </c>
      <c r="G33" s="304">
        <v>0.05</v>
      </c>
      <c r="H33" s="10">
        <f t="shared" si="5"/>
        <v>0</v>
      </c>
    </row>
    <row r="34" spans="1:8" hidden="1">
      <c r="A34" s="491"/>
      <c r="B34" s="288" t="s">
        <v>454</v>
      </c>
      <c r="C34" s="303">
        <v>0</v>
      </c>
      <c r="D34" s="10">
        <f t="shared" si="3"/>
        <v>0</v>
      </c>
      <c r="E34" s="289"/>
      <c r="F34" s="10">
        <f t="shared" si="4"/>
        <v>0</v>
      </c>
      <c r="G34" s="304">
        <v>0</v>
      </c>
      <c r="H34" s="10">
        <f t="shared" si="5"/>
        <v>0</v>
      </c>
    </row>
    <row r="35" spans="1:8" hidden="1">
      <c r="A35" s="491"/>
      <c r="B35" s="288" t="s">
        <v>455</v>
      </c>
      <c r="C35" s="303">
        <v>0</v>
      </c>
      <c r="D35" s="10">
        <f t="shared" si="3"/>
        <v>0</v>
      </c>
      <c r="E35" s="289"/>
      <c r="F35" s="10">
        <f t="shared" si="4"/>
        <v>0</v>
      </c>
      <c r="G35" s="304">
        <v>0</v>
      </c>
      <c r="H35" s="10">
        <f t="shared" si="5"/>
        <v>0</v>
      </c>
    </row>
    <row r="36" spans="1:8" hidden="1">
      <c r="A36" s="491"/>
      <c r="B36" s="288"/>
      <c r="C36" s="303"/>
      <c r="D36" s="10"/>
      <c r="E36" s="289"/>
      <c r="F36" s="10"/>
      <c r="G36" s="304"/>
      <c r="H36" s="10"/>
    </row>
    <row r="37" spans="1:8">
      <c r="A37" s="474" t="s">
        <v>365</v>
      </c>
      <c r="B37" s="474"/>
      <c r="C37" s="474"/>
      <c r="D37" s="474"/>
      <c r="E37" s="474"/>
      <c r="F37" s="474"/>
      <c r="G37" s="474"/>
      <c r="H37" s="474"/>
    </row>
    <row r="39" spans="1:8" ht="18.75" hidden="1">
      <c r="A39" s="478" t="s">
        <v>536</v>
      </c>
      <c r="B39" s="479"/>
      <c r="C39" s="479"/>
      <c r="D39" s="479"/>
      <c r="E39" s="479"/>
      <c r="F39" s="479"/>
      <c r="G39" s="479"/>
      <c r="H39" s="480"/>
    </row>
    <row r="40" spans="1:8" hidden="1">
      <c r="A40" s="481" t="s">
        <v>0</v>
      </c>
      <c r="B40" s="319">
        <v>0.05</v>
      </c>
      <c r="C40" s="319">
        <f>B40+0.05</f>
        <v>0.1</v>
      </c>
      <c r="D40" s="319">
        <f t="shared" ref="D40:G40" si="7">C40+0.05</f>
        <v>0.15000000000000002</v>
      </c>
      <c r="E40" s="319">
        <f t="shared" si="7"/>
        <v>0.2</v>
      </c>
      <c r="F40" s="319">
        <f t="shared" si="7"/>
        <v>0.25</v>
      </c>
      <c r="G40" s="319">
        <f t="shared" si="7"/>
        <v>0.3</v>
      </c>
      <c r="H40" s="319">
        <f>G40+0.05</f>
        <v>0.35</v>
      </c>
    </row>
    <row r="41" spans="1:8" hidden="1">
      <c r="A41" s="482"/>
      <c r="B41" s="310" t="s">
        <v>2</v>
      </c>
      <c r="C41" s="310" t="s">
        <v>3</v>
      </c>
      <c r="D41" s="310" t="s">
        <v>4</v>
      </c>
      <c r="E41" s="310" t="s">
        <v>5</v>
      </c>
      <c r="F41" s="310" t="s">
        <v>6</v>
      </c>
      <c r="G41" s="310" t="s">
        <v>134</v>
      </c>
      <c r="H41" s="310" t="s">
        <v>133</v>
      </c>
    </row>
    <row r="42" spans="1:8" hidden="1">
      <c r="A42" s="10" t="str">
        <f t="shared" ref="A42:A50" si="8">B14</f>
        <v>Mango</v>
      </c>
      <c r="B42" s="10">
        <v>0</v>
      </c>
      <c r="C42" s="10">
        <f>(B42/B$40)*C$40</f>
        <v>0</v>
      </c>
      <c r="D42" s="10">
        <f t="shared" ref="C42:H54" si="9">(C42/C$40)*D$40</f>
        <v>0</v>
      </c>
      <c r="E42" s="10">
        <f t="shared" si="9"/>
        <v>0</v>
      </c>
      <c r="F42" s="10">
        <f t="shared" si="9"/>
        <v>0</v>
      </c>
      <c r="G42" s="10">
        <f t="shared" si="9"/>
        <v>0</v>
      </c>
      <c r="H42" s="10">
        <f t="shared" si="9"/>
        <v>0</v>
      </c>
    </row>
    <row r="43" spans="1:8" hidden="1">
      <c r="A43" s="10" t="str">
        <f t="shared" si="8"/>
        <v>Custard Apple</v>
      </c>
      <c r="B43" s="10">
        <v>0</v>
      </c>
      <c r="C43" s="10">
        <f t="shared" si="9"/>
        <v>0</v>
      </c>
      <c r="D43" s="10">
        <f t="shared" si="9"/>
        <v>0</v>
      </c>
      <c r="E43" s="10">
        <f t="shared" si="9"/>
        <v>0</v>
      </c>
      <c r="F43" s="10">
        <f t="shared" si="9"/>
        <v>0</v>
      </c>
      <c r="G43" s="10">
        <f t="shared" si="9"/>
        <v>0</v>
      </c>
      <c r="H43" s="10">
        <f t="shared" si="9"/>
        <v>0</v>
      </c>
    </row>
    <row r="44" spans="1:8" hidden="1">
      <c r="A44" s="10" t="str">
        <f t="shared" si="8"/>
        <v>Guava</v>
      </c>
      <c r="B44" s="10">
        <v>0</v>
      </c>
      <c r="C44" s="10">
        <f t="shared" si="9"/>
        <v>0</v>
      </c>
      <c r="D44" s="10">
        <f t="shared" si="9"/>
        <v>0</v>
      </c>
      <c r="E44" s="10">
        <f t="shared" si="9"/>
        <v>0</v>
      </c>
      <c r="F44" s="10">
        <f t="shared" si="9"/>
        <v>0</v>
      </c>
      <c r="G44" s="10">
        <f t="shared" si="9"/>
        <v>0</v>
      </c>
      <c r="H44" s="10">
        <f t="shared" si="9"/>
        <v>0</v>
      </c>
    </row>
    <row r="45" spans="1:8" hidden="1">
      <c r="A45" s="10">
        <f t="shared" si="8"/>
        <v>0</v>
      </c>
      <c r="B45" s="10">
        <f t="shared" ref="B45:B50" si="10">H17*$B$40</f>
        <v>0</v>
      </c>
      <c r="C45" s="10">
        <f t="shared" si="9"/>
        <v>0</v>
      </c>
      <c r="D45" s="10">
        <f t="shared" si="9"/>
        <v>0</v>
      </c>
      <c r="E45" s="10">
        <f t="shared" si="9"/>
        <v>0</v>
      </c>
      <c r="F45" s="10">
        <f t="shared" si="9"/>
        <v>0</v>
      </c>
      <c r="G45" s="10">
        <f t="shared" si="9"/>
        <v>0</v>
      </c>
      <c r="H45" s="10">
        <f t="shared" si="9"/>
        <v>0</v>
      </c>
    </row>
    <row r="46" spans="1:8" hidden="1">
      <c r="A46" s="10">
        <f t="shared" si="8"/>
        <v>0</v>
      </c>
      <c r="B46" s="10">
        <f t="shared" si="10"/>
        <v>0</v>
      </c>
      <c r="C46" s="10">
        <f t="shared" si="9"/>
        <v>0</v>
      </c>
      <c r="D46" s="10">
        <f t="shared" si="9"/>
        <v>0</v>
      </c>
      <c r="E46" s="10">
        <f t="shared" si="9"/>
        <v>0</v>
      </c>
      <c r="F46" s="10">
        <f t="shared" si="9"/>
        <v>0</v>
      </c>
      <c r="G46" s="10">
        <f t="shared" si="9"/>
        <v>0</v>
      </c>
      <c r="H46" s="10">
        <f t="shared" si="9"/>
        <v>0</v>
      </c>
    </row>
    <row r="47" spans="1:8" hidden="1">
      <c r="A47" s="10">
        <f t="shared" si="8"/>
        <v>0</v>
      </c>
      <c r="B47" s="10">
        <f t="shared" si="10"/>
        <v>0</v>
      </c>
      <c r="C47" s="10">
        <f t="shared" si="9"/>
        <v>0</v>
      </c>
      <c r="D47" s="10">
        <f t="shared" si="9"/>
        <v>0</v>
      </c>
      <c r="E47" s="10">
        <f t="shared" si="9"/>
        <v>0</v>
      </c>
      <c r="F47" s="10">
        <f t="shared" si="9"/>
        <v>0</v>
      </c>
      <c r="G47" s="10">
        <f t="shared" si="9"/>
        <v>0</v>
      </c>
      <c r="H47" s="10">
        <f t="shared" si="9"/>
        <v>0</v>
      </c>
    </row>
    <row r="48" spans="1:8" hidden="1">
      <c r="A48" s="10">
        <f t="shared" si="8"/>
        <v>0</v>
      </c>
      <c r="B48" s="10">
        <f t="shared" si="10"/>
        <v>0</v>
      </c>
      <c r="C48" s="10">
        <f t="shared" si="9"/>
        <v>0</v>
      </c>
      <c r="D48" s="10">
        <f t="shared" si="9"/>
        <v>0</v>
      </c>
      <c r="E48" s="10">
        <f t="shared" si="9"/>
        <v>0</v>
      </c>
      <c r="F48" s="10">
        <f t="shared" si="9"/>
        <v>0</v>
      </c>
      <c r="G48" s="10">
        <f t="shared" si="9"/>
        <v>0</v>
      </c>
      <c r="H48" s="10">
        <f t="shared" si="9"/>
        <v>0</v>
      </c>
    </row>
    <row r="49" spans="1:8" hidden="1">
      <c r="A49" s="10">
        <f t="shared" si="8"/>
        <v>0</v>
      </c>
      <c r="B49" s="10">
        <f t="shared" si="10"/>
        <v>0</v>
      </c>
      <c r="C49" s="10">
        <f t="shared" si="9"/>
        <v>0</v>
      </c>
      <c r="D49" s="10">
        <f t="shared" si="9"/>
        <v>0</v>
      </c>
      <c r="E49" s="10">
        <f t="shared" si="9"/>
        <v>0</v>
      </c>
      <c r="F49" s="10">
        <f t="shared" si="9"/>
        <v>0</v>
      </c>
      <c r="G49" s="10">
        <f t="shared" si="9"/>
        <v>0</v>
      </c>
      <c r="H49" s="10">
        <f t="shared" si="9"/>
        <v>0</v>
      </c>
    </row>
    <row r="50" spans="1:8" hidden="1">
      <c r="A50" s="10">
        <f t="shared" si="8"/>
        <v>0</v>
      </c>
      <c r="B50" s="10">
        <f t="shared" si="10"/>
        <v>0</v>
      </c>
      <c r="C50" s="10">
        <f t="shared" si="9"/>
        <v>0</v>
      </c>
      <c r="D50" s="10">
        <f t="shared" si="9"/>
        <v>0</v>
      </c>
      <c r="E50" s="10">
        <f t="shared" si="9"/>
        <v>0</v>
      </c>
      <c r="F50" s="10">
        <f t="shared" si="9"/>
        <v>0</v>
      </c>
      <c r="G50" s="10">
        <f t="shared" si="9"/>
        <v>0</v>
      </c>
      <c r="H50" s="10">
        <f t="shared" si="9"/>
        <v>0</v>
      </c>
    </row>
    <row r="51" spans="1:8" hidden="1">
      <c r="A51" s="10" t="str">
        <f>B24</f>
        <v>Mango</v>
      </c>
      <c r="B51" s="10">
        <f>H24*$B$40</f>
        <v>0</v>
      </c>
      <c r="C51" s="10">
        <f t="shared" si="9"/>
        <v>0</v>
      </c>
      <c r="D51" s="10">
        <f t="shared" si="9"/>
        <v>0</v>
      </c>
      <c r="E51" s="10">
        <f t="shared" si="9"/>
        <v>0</v>
      </c>
      <c r="F51" s="10">
        <f t="shared" si="9"/>
        <v>0</v>
      </c>
      <c r="G51" s="10">
        <f t="shared" si="9"/>
        <v>0</v>
      </c>
      <c r="H51" s="10">
        <f t="shared" si="9"/>
        <v>0</v>
      </c>
    </row>
    <row r="52" spans="1:8" hidden="1">
      <c r="A52" s="10" t="str">
        <f>B25</f>
        <v>Custard Apple</v>
      </c>
      <c r="B52" s="10">
        <f>H25*$B$40</f>
        <v>0</v>
      </c>
      <c r="C52" s="10">
        <f t="shared" si="9"/>
        <v>0</v>
      </c>
      <c r="D52" s="10">
        <f t="shared" si="9"/>
        <v>0</v>
      </c>
      <c r="E52" s="10">
        <f t="shared" si="9"/>
        <v>0</v>
      </c>
      <c r="F52" s="10">
        <f t="shared" si="9"/>
        <v>0</v>
      </c>
      <c r="G52" s="10">
        <f t="shared" si="9"/>
        <v>0</v>
      </c>
      <c r="H52" s="10">
        <f t="shared" si="9"/>
        <v>0</v>
      </c>
    </row>
    <row r="53" spans="1:8" hidden="1">
      <c r="A53" s="10" t="str">
        <f>B26</f>
        <v>Guava</v>
      </c>
      <c r="B53" s="10">
        <f>H26*$B$40</f>
        <v>0</v>
      </c>
      <c r="C53" s="10">
        <f t="shared" si="9"/>
        <v>0</v>
      </c>
      <c r="D53" s="10">
        <f t="shared" si="9"/>
        <v>0</v>
      </c>
      <c r="E53" s="10">
        <f t="shared" si="9"/>
        <v>0</v>
      </c>
      <c r="F53" s="10">
        <f t="shared" si="9"/>
        <v>0</v>
      </c>
      <c r="G53" s="10">
        <f t="shared" si="9"/>
        <v>0</v>
      </c>
      <c r="H53" s="10">
        <f t="shared" si="9"/>
        <v>0</v>
      </c>
    </row>
    <row r="54" spans="1:8" hidden="1">
      <c r="A54" s="10">
        <f>B27</f>
        <v>0</v>
      </c>
      <c r="B54" s="10">
        <f>H27*$B$40</f>
        <v>0</v>
      </c>
      <c r="C54" s="10">
        <f t="shared" si="9"/>
        <v>0</v>
      </c>
      <c r="D54" s="10">
        <f t="shared" si="9"/>
        <v>0</v>
      </c>
      <c r="E54" s="10">
        <f t="shared" si="9"/>
        <v>0</v>
      </c>
      <c r="F54" s="10">
        <f t="shared" si="9"/>
        <v>0</v>
      </c>
      <c r="G54" s="10">
        <f t="shared" si="9"/>
        <v>0</v>
      </c>
      <c r="H54" s="10">
        <f t="shared" si="9"/>
        <v>0</v>
      </c>
    </row>
    <row r="55" spans="1:8" hidden="1">
      <c r="A55" s="10">
        <f t="shared" ref="A55:A62" si="11">B29</f>
        <v>0</v>
      </c>
      <c r="B55" s="10">
        <f t="shared" ref="B55:B62" si="12">H29*$B$40</f>
        <v>0</v>
      </c>
      <c r="C55" s="10">
        <f t="shared" ref="C55:H62" si="13">(B55/B$40)*C$40</f>
        <v>0</v>
      </c>
      <c r="D55" s="10">
        <f t="shared" ref="D55:D58" si="14">(C55/C$40)*D$40</f>
        <v>0</v>
      </c>
      <c r="E55" s="10">
        <f t="shared" ref="E55:E58" si="15">(D55/D$40)*E$40</f>
        <v>0</v>
      </c>
      <c r="F55" s="10">
        <f t="shared" ref="F55:F58" si="16">(E55/E$40)*F$40</f>
        <v>0</v>
      </c>
      <c r="G55" s="10">
        <f t="shared" ref="G55:G58" si="17">(F55/F$40)*G$40</f>
        <v>0</v>
      </c>
      <c r="H55" s="10">
        <f t="shared" ref="H55:H58" si="18">(G55/G$40)*H$40</f>
        <v>0</v>
      </c>
    </row>
    <row r="56" spans="1:8" hidden="1">
      <c r="A56" s="10">
        <f t="shared" si="11"/>
        <v>0</v>
      </c>
      <c r="B56" s="10">
        <f t="shared" si="12"/>
        <v>0</v>
      </c>
      <c r="C56" s="10">
        <f t="shared" si="13"/>
        <v>0</v>
      </c>
      <c r="D56" s="10">
        <f t="shared" si="14"/>
        <v>0</v>
      </c>
      <c r="E56" s="10">
        <f t="shared" si="15"/>
        <v>0</v>
      </c>
      <c r="F56" s="10">
        <f t="shared" si="16"/>
        <v>0</v>
      </c>
      <c r="G56" s="10">
        <f t="shared" si="17"/>
        <v>0</v>
      </c>
      <c r="H56" s="10">
        <f t="shared" si="18"/>
        <v>0</v>
      </c>
    </row>
    <row r="57" spans="1:8" hidden="1">
      <c r="A57" s="10">
        <f t="shared" si="11"/>
        <v>0</v>
      </c>
      <c r="B57" s="10">
        <f t="shared" si="12"/>
        <v>0</v>
      </c>
      <c r="C57" s="10">
        <f t="shared" si="13"/>
        <v>0</v>
      </c>
      <c r="D57" s="10">
        <f t="shared" si="14"/>
        <v>0</v>
      </c>
      <c r="E57" s="10">
        <f t="shared" si="15"/>
        <v>0</v>
      </c>
      <c r="F57" s="10">
        <f t="shared" si="16"/>
        <v>0</v>
      </c>
      <c r="G57" s="10">
        <f t="shared" si="17"/>
        <v>0</v>
      </c>
      <c r="H57" s="10">
        <f t="shared" si="18"/>
        <v>0</v>
      </c>
    </row>
    <row r="58" spans="1:8" hidden="1">
      <c r="A58" s="10">
        <f t="shared" si="11"/>
        <v>0</v>
      </c>
      <c r="B58" s="10">
        <f t="shared" si="12"/>
        <v>0</v>
      </c>
      <c r="C58" s="10">
        <f t="shared" si="13"/>
        <v>0</v>
      </c>
      <c r="D58" s="10">
        <f t="shared" si="14"/>
        <v>0</v>
      </c>
      <c r="E58" s="10">
        <f t="shared" si="15"/>
        <v>0</v>
      </c>
      <c r="F58" s="10">
        <f t="shared" si="16"/>
        <v>0</v>
      </c>
      <c r="G58" s="10">
        <f t="shared" si="17"/>
        <v>0</v>
      </c>
      <c r="H58" s="10">
        <f t="shared" si="18"/>
        <v>0</v>
      </c>
    </row>
    <row r="59" spans="1:8" hidden="1">
      <c r="A59" s="10" t="str">
        <f t="shared" si="11"/>
        <v>Mango</v>
      </c>
      <c r="B59" s="10">
        <f t="shared" si="12"/>
        <v>0</v>
      </c>
      <c r="C59" s="10">
        <f t="shared" si="13"/>
        <v>0</v>
      </c>
      <c r="D59" s="10">
        <f t="shared" si="13"/>
        <v>0</v>
      </c>
      <c r="E59" s="10">
        <f t="shared" si="13"/>
        <v>0</v>
      </c>
      <c r="F59" s="10">
        <f t="shared" si="13"/>
        <v>0</v>
      </c>
      <c r="G59" s="10">
        <f t="shared" si="13"/>
        <v>0</v>
      </c>
      <c r="H59" s="10">
        <f t="shared" si="13"/>
        <v>0</v>
      </c>
    </row>
    <row r="60" spans="1:8" hidden="1">
      <c r="A60" s="10" t="str">
        <f t="shared" si="11"/>
        <v>Custard Apple</v>
      </c>
      <c r="B60" s="10">
        <f t="shared" si="12"/>
        <v>0</v>
      </c>
      <c r="C60" s="10">
        <f t="shared" si="13"/>
        <v>0</v>
      </c>
      <c r="D60" s="10">
        <f t="shared" si="13"/>
        <v>0</v>
      </c>
      <c r="E60" s="10">
        <f t="shared" si="13"/>
        <v>0</v>
      </c>
      <c r="F60" s="10">
        <f t="shared" si="13"/>
        <v>0</v>
      </c>
      <c r="G60" s="10">
        <f t="shared" si="13"/>
        <v>0</v>
      </c>
      <c r="H60" s="10">
        <f t="shared" si="13"/>
        <v>0</v>
      </c>
    </row>
    <row r="61" spans="1:8" hidden="1">
      <c r="A61" s="10" t="str">
        <f t="shared" si="11"/>
        <v>Guava</v>
      </c>
      <c r="B61" s="10">
        <f t="shared" si="12"/>
        <v>0</v>
      </c>
      <c r="C61" s="10">
        <f t="shared" si="13"/>
        <v>0</v>
      </c>
      <c r="D61" s="10">
        <f t="shared" si="13"/>
        <v>0</v>
      </c>
      <c r="E61" s="10">
        <f t="shared" si="13"/>
        <v>0</v>
      </c>
      <c r="F61" s="10">
        <f t="shared" si="13"/>
        <v>0</v>
      </c>
      <c r="G61" s="10">
        <f t="shared" si="13"/>
        <v>0</v>
      </c>
      <c r="H61" s="10">
        <f t="shared" si="13"/>
        <v>0</v>
      </c>
    </row>
    <row r="62" spans="1:8" hidden="1">
      <c r="A62" s="10">
        <f t="shared" si="11"/>
        <v>0</v>
      </c>
      <c r="B62" s="10">
        <f t="shared" si="12"/>
        <v>0</v>
      </c>
      <c r="C62" s="10">
        <f t="shared" si="13"/>
        <v>0</v>
      </c>
      <c r="D62" s="10">
        <f t="shared" si="13"/>
        <v>0</v>
      </c>
      <c r="E62" s="10">
        <f t="shared" ref="E62" si="19">(D62/D$40)*E$40</f>
        <v>0</v>
      </c>
      <c r="F62" s="10">
        <f t="shared" ref="F62" si="20">(E62/E$40)*F$40</f>
        <v>0</v>
      </c>
      <c r="G62" s="10">
        <f t="shared" ref="G62:H62" si="21">(F62/F$40)*G$40</f>
        <v>0</v>
      </c>
      <c r="H62" s="10">
        <f t="shared" si="21"/>
        <v>0</v>
      </c>
    </row>
    <row r="63" spans="1:8" ht="18.75">
      <c r="A63" s="483" t="s">
        <v>537</v>
      </c>
      <c r="B63" s="484"/>
      <c r="C63" s="484"/>
      <c r="D63" s="484"/>
      <c r="E63" s="484"/>
      <c r="F63" s="484"/>
      <c r="G63" s="484"/>
      <c r="H63" s="485"/>
    </row>
    <row r="64" spans="1:8">
      <c r="A64" s="486" t="s">
        <v>0</v>
      </c>
      <c r="B64" s="320">
        <v>0.22</v>
      </c>
      <c r="C64" s="398">
        <f>B64+0.5%</f>
        <v>0.22500000000000001</v>
      </c>
      <c r="D64" s="398">
        <f t="shared" ref="D64:H64" si="22">C64+0.5%</f>
        <v>0.23</v>
      </c>
      <c r="E64" s="398">
        <f t="shared" si="22"/>
        <v>0.23500000000000001</v>
      </c>
      <c r="F64" s="398">
        <f t="shared" si="22"/>
        <v>0.24000000000000002</v>
      </c>
      <c r="G64" s="398">
        <f t="shared" si="22"/>
        <v>0.24500000000000002</v>
      </c>
      <c r="H64" s="398">
        <f t="shared" si="22"/>
        <v>0.25</v>
      </c>
    </row>
    <row r="65" spans="1:8">
      <c r="A65" s="487"/>
      <c r="B65" s="310" t="s">
        <v>2</v>
      </c>
      <c r="C65" s="310" t="s">
        <v>3</v>
      </c>
      <c r="D65" s="310" t="s">
        <v>4</v>
      </c>
      <c r="E65" s="310" t="s">
        <v>5</v>
      </c>
      <c r="F65" s="310" t="s">
        <v>6</v>
      </c>
      <c r="G65" s="310" t="s">
        <v>134</v>
      </c>
      <c r="H65" s="310" t="s">
        <v>133</v>
      </c>
    </row>
    <row r="66" spans="1:8" s="13" customFormat="1">
      <c r="A66" s="10" t="str">
        <f t="shared" ref="A66:A68" si="23">A42</f>
        <v>Mango</v>
      </c>
      <c r="B66" s="10">
        <f>H14*$B$64</f>
        <v>1027.54575</v>
      </c>
      <c r="C66" s="10">
        <f>(B66/B64)*C64</f>
        <v>1050.8990625000001</v>
      </c>
      <c r="D66" s="10">
        <f>(C66/C64)*D64</f>
        <v>1074.252375</v>
      </c>
      <c r="E66" s="10">
        <f>(D66/D64)*E64</f>
        <v>1097.6056875000002</v>
      </c>
      <c r="F66" s="10">
        <f t="shared" ref="F66:H66" si="24">(E66/E64)*F64</f>
        <v>1120.9590000000003</v>
      </c>
      <c r="G66" s="10">
        <f t="shared" si="24"/>
        <v>1144.3123125000004</v>
      </c>
      <c r="H66" s="10">
        <f t="shared" si="24"/>
        <v>1167.6656250000003</v>
      </c>
    </row>
    <row r="67" spans="1:8">
      <c r="A67" s="10" t="str">
        <f t="shared" si="23"/>
        <v>Custard Apple</v>
      </c>
      <c r="B67" s="10">
        <f>H15*$B$64</f>
        <v>433.85264999999998</v>
      </c>
      <c r="C67" s="10">
        <f>(B67/B64)*C64</f>
        <v>443.71293750000001</v>
      </c>
      <c r="D67" s="10">
        <f>(C67/C64)*D64</f>
        <v>453.57322499999998</v>
      </c>
      <c r="E67" s="10">
        <f t="shared" ref="E67:G67" si="25">(D67/D64)*E64</f>
        <v>463.43351250000001</v>
      </c>
      <c r="F67" s="10">
        <f t="shared" si="25"/>
        <v>473.29380000000003</v>
      </c>
      <c r="G67" s="10">
        <f t="shared" si="25"/>
        <v>483.1540875</v>
      </c>
      <c r="H67" s="10">
        <f>(G67/G64)*H64</f>
        <v>493.01437499999997</v>
      </c>
    </row>
    <row r="68" spans="1:8">
      <c r="A68" s="10" t="str">
        <f t="shared" si="23"/>
        <v>Guava</v>
      </c>
      <c r="B68" s="10">
        <f>H16*$B$64</f>
        <v>304.45799999999997</v>
      </c>
      <c r="C68" s="10">
        <f>(B68/B64)*C64</f>
        <v>311.3775</v>
      </c>
      <c r="D68" s="10">
        <f>(C68/C64)*D64</f>
        <v>318.29699999999997</v>
      </c>
      <c r="E68" s="10">
        <f t="shared" ref="E68:G68" si="26">(D68/D64)*E64</f>
        <v>325.2165</v>
      </c>
      <c r="F68" s="10">
        <f t="shared" si="26"/>
        <v>332.13599999999997</v>
      </c>
      <c r="G68" s="10">
        <f t="shared" si="26"/>
        <v>339.05549999999999</v>
      </c>
      <c r="H68" s="10">
        <f>(G68/G64)*H64</f>
        <v>345.97499999999997</v>
      </c>
    </row>
    <row r="69" spans="1:8">
      <c r="A69" s="10"/>
      <c r="B69" s="10"/>
      <c r="C69" s="10"/>
      <c r="D69" s="10"/>
      <c r="E69" s="10"/>
      <c r="F69" s="10"/>
      <c r="G69" s="10"/>
      <c r="H69" s="10"/>
    </row>
    <row r="70" spans="1:8" hidden="1">
      <c r="A70" s="10"/>
      <c r="B70" s="10"/>
      <c r="C70" s="10"/>
      <c r="D70" s="10"/>
      <c r="E70" s="10"/>
      <c r="F70" s="10"/>
      <c r="G70" s="10"/>
      <c r="H70" s="10"/>
    </row>
    <row r="71" spans="1:8" hidden="1">
      <c r="A71" s="10"/>
      <c r="B71" s="10"/>
      <c r="C71" s="10"/>
      <c r="D71" s="10"/>
      <c r="E71" s="10"/>
      <c r="F71" s="10"/>
      <c r="G71" s="10"/>
      <c r="H71" s="10"/>
    </row>
    <row r="72" spans="1:8" hidden="1">
      <c r="A72" s="10"/>
      <c r="B72" s="10"/>
      <c r="C72" s="10"/>
      <c r="D72" s="10"/>
      <c r="E72" s="10"/>
      <c r="F72" s="10"/>
      <c r="G72" s="10"/>
      <c r="H72" s="10"/>
    </row>
    <row r="73" spans="1:8" hidden="1">
      <c r="A73" s="10"/>
      <c r="B73" s="10"/>
      <c r="C73" s="10"/>
      <c r="D73" s="10"/>
      <c r="E73" s="10"/>
      <c r="F73" s="10"/>
      <c r="G73" s="10"/>
      <c r="H73" s="10"/>
    </row>
    <row r="74" spans="1:8" hidden="1">
      <c r="A74" s="10"/>
      <c r="B74" s="10"/>
      <c r="C74" s="10"/>
      <c r="D74" s="10"/>
      <c r="E74" s="10"/>
      <c r="F74" s="10"/>
      <c r="G74" s="10"/>
      <c r="H74" s="10"/>
    </row>
    <row r="75" spans="1:8" hidden="1">
      <c r="A75" s="10"/>
      <c r="B75" s="10"/>
      <c r="C75" s="10"/>
      <c r="D75" s="10"/>
      <c r="E75" s="10"/>
      <c r="F75" s="10"/>
      <c r="G75" s="10"/>
      <c r="H75" s="10"/>
    </row>
    <row r="76" spans="1:8" hidden="1">
      <c r="A76" s="10"/>
      <c r="B76" s="10"/>
      <c r="C76" s="10"/>
      <c r="D76" s="10"/>
      <c r="E76" s="10"/>
      <c r="F76" s="10"/>
      <c r="G76" s="10"/>
      <c r="H76" s="10"/>
    </row>
    <row r="77" spans="1:8" hidden="1">
      <c r="A77" s="10"/>
      <c r="B77" s="10"/>
      <c r="C77" s="10"/>
      <c r="D77" s="10"/>
      <c r="E77" s="10"/>
      <c r="F77" s="10"/>
      <c r="G77" s="10"/>
      <c r="H77" s="10"/>
    </row>
    <row r="78" spans="1:8" hidden="1">
      <c r="A78" s="10"/>
      <c r="B78" s="10"/>
      <c r="C78" s="10"/>
      <c r="D78" s="10"/>
      <c r="E78" s="10"/>
      <c r="F78" s="10"/>
      <c r="G78" s="10"/>
      <c r="H78" s="10"/>
    </row>
    <row r="79" spans="1:8" hidden="1">
      <c r="A79" s="10"/>
      <c r="B79" s="10"/>
      <c r="C79" s="10"/>
      <c r="D79" s="10"/>
      <c r="E79" s="10"/>
      <c r="F79" s="10"/>
      <c r="G79" s="10"/>
      <c r="H79" s="10"/>
    </row>
    <row r="80" spans="1:8" hidden="1">
      <c r="A80" s="10"/>
      <c r="B80" s="10"/>
      <c r="C80" s="10"/>
      <c r="D80" s="10"/>
      <c r="E80" s="10"/>
      <c r="F80" s="10"/>
      <c r="G80" s="10"/>
      <c r="H80" s="10"/>
    </row>
    <row r="81" spans="1:9" hidden="1">
      <c r="A81" s="10"/>
      <c r="B81" s="10"/>
      <c r="C81" s="10"/>
      <c r="D81" s="10"/>
      <c r="E81" s="10"/>
      <c r="F81" s="10"/>
      <c r="G81" s="10"/>
      <c r="H81" s="10"/>
    </row>
    <row r="82" spans="1:9" hidden="1">
      <c r="A82" s="10"/>
      <c r="B82" s="10"/>
      <c r="C82" s="10"/>
      <c r="D82" s="10"/>
      <c r="E82" s="10"/>
      <c r="F82" s="10"/>
      <c r="G82" s="10"/>
      <c r="H82" s="10"/>
    </row>
    <row r="83" spans="1:9" hidden="1">
      <c r="A83" s="10"/>
      <c r="B83" s="10"/>
      <c r="C83" s="10"/>
      <c r="D83" s="10"/>
      <c r="E83" s="10"/>
      <c r="F83" s="10"/>
      <c r="G83" s="10"/>
      <c r="H83" s="10"/>
    </row>
    <row r="84" spans="1:9" hidden="1">
      <c r="A84" s="10"/>
      <c r="B84" s="10"/>
      <c r="C84" s="10"/>
      <c r="D84" s="10"/>
      <c r="E84" s="10"/>
      <c r="F84" s="10"/>
      <c r="G84" s="10"/>
      <c r="H84" s="10"/>
    </row>
    <row r="85" spans="1:9" hidden="1">
      <c r="A85" s="10"/>
      <c r="B85" s="10"/>
      <c r="C85" s="10"/>
      <c r="D85" s="10"/>
      <c r="E85" s="10"/>
      <c r="F85" s="10"/>
      <c r="G85" s="10"/>
      <c r="H85" s="10"/>
      <c r="I85" s="298"/>
    </row>
    <row r="86" spans="1:9" ht="18.75" hidden="1">
      <c r="A86" s="483"/>
      <c r="B86" s="484"/>
      <c r="C86" s="484"/>
      <c r="D86" s="484"/>
      <c r="E86" s="484"/>
      <c r="F86" s="484"/>
      <c r="G86" s="484"/>
      <c r="H86" s="485"/>
    </row>
    <row r="87" spans="1:9" hidden="1">
      <c r="A87" s="472"/>
      <c r="B87" s="344"/>
      <c r="C87" s="345"/>
      <c r="D87" s="345"/>
      <c r="E87" s="345"/>
      <c r="F87" s="345"/>
      <c r="G87" s="345"/>
      <c r="H87" s="345"/>
    </row>
    <row r="88" spans="1:9" hidden="1">
      <c r="A88" s="473"/>
      <c r="B88" s="310"/>
      <c r="C88" s="310"/>
      <c r="D88" s="310"/>
      <c r="E88" s="310"/>
      <c r="F88" s="310"/>
      <c r="G88" s="310"/>
      <c r="H88" s="310"/>
    </row>
    <row r="89" spans="1:9" s="13" customFormat="1" hidden="1">
      <c r="A89" s="10"/>
      <c r="B89" s="10"/>
      <c r="C89" s="307"/>
      <c r="D89" s="307"/>
      <c r="E89" s="307"/>
      <c r="F89" s="307"/>
      <c r="G89" s="307"/>
      <c r="H89" s="307"/>
    </row>
    <row r="90" spans="1:9" hidden="1">
      <c r="A90" s="10"/>
      <c r="B90" s="10"/>
      <c r="C90" s="307"/>
      <c r="D90" s="307"/>
      <c r="E90" s="307"/>
      <c r="F90" s="307"/>
      <c r="G90" s="307"/>
      <c r="H90" s="307"/>
    </row>
    <row r="91" spans="1:9" hidden="1">
      <c r="A91" s="10"/>
      <c r="B91" s="10"/>
      <c r="C91" s="307"/>
      <c r="D91" s="307"/>
      <c r="E91" s="307"/>
      <c r="F91" s="307"/>
      <c r="G91" s="307"/>
      <c r="H91" s="307"/>
    </row>
    <row r="92" spans="1:9" hidden="1">
      <c r="A92" s="10"/>
      <c r="B92" s="10"/>
      <c r="C92" s="307"/>
      <c r="D92" s="307"/>
      <c r="E92" s="307"/>
      <c r="F92" s="307"/>
      <c r="G92" s="307"/>
      <c r="H92" s="307"/>
    </row>
    <row r="93" spans="1:9" hidden="1">
      <c r="A93" s="10"/>
      <c r="B93" s="382"/>
      <c r="C93" s="307"/>
      <c r="D93" s="307"/>
      <c r="E93" s="307"/>
      <c r="F93" s="307"/>
      <c r="G93" s="307"/>
      <c r="H93" s="307"/>
    </row>
    <row r="94" spans="1:9" hidden="1">
      <c r="A94" s="10"/>
      <c r="B94" s="10"/>
      <c r="C94" s="307"/>
      <c r="D94" s="307"/>
      <c r="E94" s="307"/>
      <c r="F94" s="307"/>
      <c r="G94" s="307"/>
      <c r="H94" s="307"/>
    </row>
    <row r="95" spans="1:9" hidden="1">
      <c r="A95" s="10"/>
      <c r="B95" s="10"/>
      <c r="C95" s="307"/>
      <c r="D95" s="307"/>
      <c r="E95" s="307"/>
      <c r="F95" s="307"/>
      <c r="G95" s="307"/>
      <c r="H95" s="307"/>
    </row>
    <row r="96" spans="1:9" hidden="1">
      <c r="A96" s="10"/>
      <c r="B96" s="10"/>
      <c r="C96" s="307"/>
      <c r="D96" s="307"/>
      <c r="E96" s="307"/>
      <c r="F96" s="307"/>
      <c r="G96" s="307"/>
      <c r="H96" s="307"/>
    </row>
    <row r="97" spans="1:9" hidden="1">
      <c r="A97" s="10"/>
      <c r="B97" s="10"/>
      <c r="C97" s="307"/>
      <c r="D97" s="307"/>
      <c r="E97" s="307"/>
      <c r="F97" s="307"/>
      <c r="G97" s="307"/>
      <c r="H97" s="307"/>
    </row>
    <row r="98" spans="1:9" hidden="1">
      <c r="A98" s="10"/>
      <c r="B98" s="10"/>
      <c r="C98" s="307"/>
      <c r="D98" s="307"/>
      <c r="E98" s="307"/>
      <c r="F98" s="307"/>
      <c r="G98" s="307"/>
      <c r="H98" s="307"/>
    </row>
    <row r="99" spans="1:9" hidden="1">
      <c r="A99" s="10"/>
      <c r="B99" s="10"/>
      <c r="C99" s="307"/>
      <c r="D99" s="307"/>
      <c r="E99" s="307"/>
      <c r="F99" s="307"/>
      <c r="G99" s="307"/>
      <c r="H99" s="307"/>
    </row>
    <row r="100" spans="1:9" hidden="1">
      <c r="A100" s="10"/>
      <c r="B100" s="10"/>
      <c r="C100" s="307"/>
      <c r="D100" s="307"/>
      <c r="E100" s="307"/>
      <c r="F100" s="307"/>
      <c r="G100" s="307"/>
      <c r="H100" s="307"/>
    </row>
    <row r="101" spans="1:9" hidden="1">
      <c r="A101" s="10"/>
      <c r="B101" s="10"/>
      <c r="C101" s="307"/>
      <c r="D101" s="307"/>
      <c r="E101" s="307"/>
      <c r="F101" s="307"/>
      <c r="G101" s="307"/>
      <c r="H101" s="307"/>
    </row>
    <row r="102" spans="1:9" hidden="1">
      <c r="A102" s="10"/>
      <c r="B102" s="10"/>
      <c r="C102" s="307"/>
      <c r="D102" s="307"/>
      <c r="E102" s="307"/>
      <c r="F102" s="307"/>
      <c r="G102" s="307"/>
      <c r="H102" s="307"/>
    </row>
    <row r="103" spans="1:9" hidden="1">
      <c r="A103" s="10"/>
      <c r="B103" s="10"/>
      <c r="C103" s="307"/>
      <c r="D103" s="307"/>
      <c r="E103" s="307"/>
      <c r="F103" s="307"/>
      <c r="G103" s="307"/>
      <c r="H103" s="307"/>
    </row>
    <row r="104" spans="1:9" hidden="1">
      <c r="A104" s="10"/>
      <c r="B104" s="10"/>
      <c r="C104" s="307"/>
      <c r="D104" s="307"/>
      <c r="E104" s="307"/>
      <c r="F104" s="307"/>
      <c r="G104" s="307"/>
      <c r="H104" s="307"/>
    </row>
    <row r="105" spans="1:9" hidden="1">
      <c r="A105" s="10"/>
      <c r="B105" s="10"/>
      <c r="C105" s="307"/>
      <c r="D105" s="307"/>
      <c r="E105" s="307"/>
      <c r="F105" s="307"/>
      <c r="G105" s="307"/>
      <c r="H105" s="307"/>
    </row>
    <row r="106" spans="1:9" hidden="1">
      <c r="A106" s="10"/>
      <c r="B106" s="10"/>
      <c r="C106" s="307"/>
      <c r="D106" s="307"/>
      <c r="E106" s="307"/>
      <c r="F106" s="307"/>
      <c r="G106" s="307"/>
      <c r="H106" s="307"/>
    </row>
    <row r="107" spans="1:9" hidden="1"/>
    <row r="108" spans="1:9">
      <c r="C108" s="4"/>
      <c r="D108" s="6"/>
      <c r="E108" s="6"/>
      <c r="F108" s="6"/>
      <c r="G108" s="6"/>
      <c r="H108" s="6"/>
      <c r="I108" s="6"/>
    </row>
    <row r="109" spans="1:9">
      <c r="A109" t="s">
        <v>501</v>
      </c>
      <c r="C109" s="317"/>
      <c r="D109" s="317"/>
      <c r="E109" s="317"/>
      <c r="F109" s="317"/>
      <c r="G109" s="317"/>
      <c r="H109" s="317"/>
      <c r="I109" s="317"/>
    </row>
    <row r="110" spans="1:9">
      <c r="A110">
        <v>1</v>
      </c>
      <c r="B110" t="s">
        <v>502</v>
      </c>
    </row>
    <row r="111" spans="1:9">
      <c r="A111">
        <v>2</v>
      </c>
      <c r="B111" t="s">
        <v>503</v>
      </c>
    </row>
    <row r="112" spans="1:9">
      <c r="A112">
        <v>3</v>
      </c>
      <c r="B112" t="s">
        <v>504</v>
      </c>
    </row>
  </sheetData>
  <mergeCells count="13">
    <mergeCell ref="A86:H86"/>
    <mergeCell ref="A87:A88"/>
    <mergeCell ref="A3:B3"/>
    <mergeCell ref="A11:H11"/>
    <mergeCell ref="A14:A22"/>
    <mergeCell ref="A24:A27"/>
    <mergeCell ref="A33:A36"/>
    <mergeCell ref="A37:H37"/>
    <mergeCell ref="A1:H1"/>
    <mergeCell ref="A39:H39"/>
    <mergeCell ref="A40:A41"/>
    <mergeCell ref="A63:H63"/>
    <mergeCell ref="A64:A65"/>
  </mergeCells>
  <pageMargins left="0.70866141732283472" right="0.70866141732283472" top="0.74803149606299213" bottom="0.74803149606299213" header="0.31496062992125984" footer="0.31496062992125984"/>
  <pageSetup scale="7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283"/>
  <sheetViews>
    <sheetView view="pageBreakPreview" topLeftCell="A253" zoomScaleSheetLayoutView="100" workbookViewId="0">
      <selection activeCell="A245" sqref="A245:XFD249"/>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425" t="s">
        <v>538</v>
      </c>
      <c r="B2" s="425"/>
      <c r="C2" s="425"/>
      <c r="D2" s="425"/>
      <c r="E2" s="425"/>
      <c r="F2" s="425"/>
      <c r="G2" s="425"/>
      <c r="H2" s="425"/>
    </row>
    <row r="3" spans="1:8" ht="18.75">
      <c r="A3" s="425" t="s">
        <v>539</v>
      </c>
      <c r="B3" s="425"/>
      <c r="C3" s="425"/>
      <c r="D3" s="425"/>
      <c r="E3" s="425"/>
      <c r="F3" s="425"/>
      <c r="G3" s="425"/>
      <c r="H3" s="425"/>
    </row>
    <row r="4" spans="1:8">
      <c r="B4" s="94"/>
      <c r="C4" s="94"/>
      <c r="D4" s="94"/>
      <c r="E4" s="94"/>
      <c r="F4" s="402" t="s">
        <v>441</v>
      </c>
      <c r="G4" s="402"/>
      <c r="H4" s="402"/>
    </row>
    <row r="5" spans="1:8">
      <c r="A5" s="94" t="s">
        <v>126</v>
      </c>
      <c r="B5" s="249">
        <f>(2*1000)/100</f>
        <v>20</v>
      </c>
      <c r="C5" s="94" t="s">
        <v>417</v>
      </c>
      <c r="D5" s="94"/>
      <c r="E5" s="94"/>
      <c r="F5" s="292" t="s">
        <v>442</v>
      </c>
      <c r="G5" s="292" t="s">
        <v>443</v>
      </c>
      <c r="H5" s="94"/>
    </row>
    <row r="6" spans="1:8">
      <c r="A6" s="94" t="s">
        <v>127</v>
      </c>
      <c r="B6" s="282">
        <v>8</v>
      </c>
      <c r="C6" s="94"/>
      <c r="D6" s="94"/>
      <c r="E6" s="94"/>
      <c r="F6" s="10" t="s">
        <v>439</v>
      </c>
      <c r="G6" s="325">
        <v>0.03</v>
      </c>
      <c r="H6" s="94"/>
    </row>
    <row r="7" spans="1:8">
      <c r="A7" s="94"/>
      <c r="B7" s="94"/>
      <c r="C7" s="94"/>
      <c r="D7" s="94"/>
      <c r="E7" s="94"/>
      <c r="F7" s="10" t="s">
        <v>440</v>
      </c>
      <c r="G7" s="325">
        <v>0.05</v>
      </c>
      <c r="H7" s="94"/>
    </row>
    <row r="8" spans="1:8">
      <c r="A8" s="94" t="s">
        <v>480</v>
      </c>
      <c r="B8" s="94">
        <v>300</v>
      </c>
      <c r="C8" s="94"/>
      <c r="D8" s="94"/>
      <c r="E8" s="94"/>
      <c r="F8" s="10"/>
      <c r="G8" s="325"/>
      <c r="H8" s="94"/>
    </row>
    <row r="9" spans="1:8">
      <c r="A9" s="148" t="s">
        <v>0</v>
      </c>
      <c r="B9" s="120" t="s">
        <v>2</v>
      </c>
      <c r="C9" s="120" t="s">
        <v>3</v>
      </c>
      <c r="D9" s="120" t="s">
        <v>4</v>
      </c>
      <c r="E9" s="120" t="s">
        <v>5</v>
      </c>
      <c r="F9" s="120" t="s">
        <v>6</v>
      </c>
      <c r="G9" s="120" t="s">
        <v>134</v>
      </c>
      <c r="H9" s="120" t="s">
        <v>133</v>
      </c>
    </row>
    <row r="10" spans="1:8">
      <c r="A10" s="95" t="s">
        <v>416</v>
      </c>
      <c r="B10" s="301">
        <f>B33/($B$5*$B$6)</f>
        <v>0</v>
      </c>
      <c r="C10" s="301">
        <f t="shared" ref="C10:H10" si="0">C33/($B$5*$B$6)</f>
        <v>0</v>
      </c>
      <c r="D10" s="301">
        <f t="shared" si="0"/>
        <v>0</v>
      </c>
      <c r="E10" s="301">
        <f t="shared" si="0"/>
        <v>0</v>
      </c>
      <c r="F10" s="301">
        <f t="shared" si="0"/>
        <v>0</v>
      </c>
      <c r="G10" s="301">
        <f t="shared" si="0"/>
        <v>0</v>
      </c>
      <c r="H10" s="301">
        <f t="shared" si="0"/>
        <v>0</v>
      </c>
    </row>
    <row r="11" spans="1:8">
      <c r="A11" s="201" t="str">
        <f>'10.Grain Production details'!A42</f>
        <v>Soybean</v>
      </c>
      <c r="B11" s="201">
        <f>'10.Grain Production details'!B42</f>
        <v>0</v>
      </c>
      <c r="C11" s="201">
        <f>'10.Grain Production details'!C42</f>
        <v>0</v>
      </c>
      <c r="D11" s="201">
        <f>'10.Grain Production details'!D42</f>
        <v>0</v>
      </c>
      <c r="E11" s="201">
        <f>'10.Grain Production details'!E42</f>
        <v>0</v>
      </c>
      <c r="F11" s="201">
        <f>'10.Grain Production details'!F42</f>
        <v>0</v>
      </c>
      <c r="G11" s="201">
        <f>'10.Grain Production details'!G42</f>
        <v>0</v>
      </c>
      <c r="H11" s="201">
        <f>'10.Grain Production details'!H42</f>
        <v>0</v>
      </c>
    </row>
    <row r="12" spans="1:8">
      <c r="A12" s="201" t="str">
        <f>'10.Grain Production details'!A43</f>
        <v>Red Gram/Tur</v>
      </c>
      <c r="B12" s="201">
        <f>'10.Grain Production details'!B43</f>
        <v>0</v>
      </c>
      <c r="C12" s="201">
        <f>'10.Grain Production details'!C43</f>
        <v>0</v>
      </c>
      <c r="D12" s="201">
        <f>'10.Grain Production details'!D43</f>
        <v>0</v>
      </c>
      <c r="E12" s="201">
        <f>'10.Grain Production details'!E43</f>
        <v>0</v>
      </c>
      <c r="F12" s="201">
        <f>'10.Grain Production details'!F43</f>
        <v>0</v>
      </c>
      <c r="G12" s="201">
        <f>'10.Grain Production details'!G43</f>
        <v>0</v>
      </c>
      <c r="H12" s="201">
        <f>'10.Grain Production details'!H43</f>
        <v>0</v>
      </c>
    </row>
    <row r="13" spans="1:8">
      <c r="A13" s="201" t="str">
        <f>'10.Grain Production details'!A44</f>
        <v>Paddy/Rice</v>
      </c>
      <c r="B13" s="201">
        <f>'10.Grain Production details'!B44</f>
        <v>0</v>
      </c>
      <c r="C13" s="201">
        <f>'10.Grain Production details'!C44</f>
        <v>0</v>
      </c>
      <c r="D13" s="201">
        <f>'10.Grain Production details'!D44</f>
        <v>0</v>
      </c>
      <c r="E13" s="201">
        <f>'10.Grain Production details'!E44</f>
        <v>0</v>
      </c>
      <c r="F13" s="201">
        <f>'10.Grain Production details'!F44</f>
        <v>0</v>
      </c>
      <c r="G13" s="201">
        <f>'10.Grain Production details'!G44</f>
        <v>0</v>
      </c>
      <c r="H13" s="201">
        <f>'10.Grain Production details'!H44</f>
        <v>0</v>
      </c>
    </row>
    <row r="14" spans="1:8">
      <c r="A14" s="201" t="str">
        <f>'10.Grain Production details'!A45</f>
        <v>Green Gram/ Moong</v>
      </c>
      <c r="B14" s="201">
        <f>'10.Grain Production details'!B45</f>
        <v>0</v>
      </c>
      <c r="C14" s="201">
        <f>'10.Grain Production details'!C45</f>
        <v>0</v>
      </c>
      <c r="D14" s="201">
        <f>'10.Grain Production details'!D45</f>
        <v>0</v>
      </c>
      <c r="E14" s="201">
        <f>'10.Grain Production details'!E45</f>
        <v>0</v>
      </c>
      <c r="F14" s="201">
        <f>'10.Grain Production details'!F45</f>
        <v>0</v>
      </c>
      <c r="G14" s="201">
        <f>'10.Grain Production details'!G45</f>
        <v>0</v>
      </c>
      <c r="H14" s="201">
        <f>'10.Grain Production details'!H45</f>
        <v>0</v>
      </c>
    </row>
    <row r="15" spans="1:8">
      <c r="A15" s="201" t="str">
        <f>'10.Grain Production details'!A46</f>
        <v>Maize</v>
      </c>
      <c r="B15" s="201">
        <f>'10.Grain Production details'!B46</f>
        <v>0</v>
      </c>
      <c r="C15" s="201">
        <f>'10.Grain Production details'!C46</f>
        <v>0</v>
      </c>
      <c r="D15" s="201">
        <f>'10.Grain Production details'!D46</f>
        <v>0</v>
      </c>
      <c r="E15" s="201">
        <f>'10.Grain Production details'!E46</f>
        <v>0</v>
      </c>
      <c r="F15" s="201">
        <f>'10.Grain Production details'!F46</f>
        <v>0</v>
      </c>
      <c r="G15" s="201">
        <f>'10.Grain Production details'!G46</f>
        <v>0</v>
      </c>
      <c r="H15" s="201">
        <f>'10.Grain Production details'!H46</f>
        <v>0</v>
      </c>
    </row>
    <row r="16" spans="1:8">
      <c r="A16" s="201" t="str">
        <f>'10.Grain Production details'!A47</f>
        <v>Black Gram/Udid</v>
      </c>
      <c r="B16" s="201">
        <f>'10.Grain Production details'!B47</f>
        <v>0</v>
      </c>
      <c r="C16" s="201">
        <f>'10.Grain Production details'!C47</f>
        <v>0</v>
      </c>
      <c r="D16" s="201">
        <f>'10.Grain Production details'!D47</f>
        <v>0</v>
      </c>
      <c r="E16" s="201">
        <f>'10.Grain Production details'!E47</f>
        <v>0</v>
      </c>
      <c r="F16" s="201">
        <f>'10.Grain Production details'!F47</f>
        <v>0</v>
      </c>
      <c r="G16" s="201">
        <f>'10.Grain Production details'!G47</f>
        <v>0</v>
      </c>
      <c r="H16" s="201">
        <f>'10.Grain Production details'!H47</f>
        <v>0</v>
      </c>
    </row>
    <row r="17" spans="1:8">
      <c r="A17" s="201" t="str">
        <f>'10.Grain Production details'!A48</f>
        <v>Bajra</v>
      </c>
      <c r="B17" s="201">
        <f>'10.Grain Production details'!B48</f>
        <v>0</v>
      </c>
      <c r="C17" s="201">
        <f>'10.Grain Production details'!C48</f>
        <v>0</v>
      </c>
      <c r="D17" s="201">
        <f>'10.Grain Production details'!D48</f>
        <v>0</v>
      </c>
      <c r="E17" s="201">
        <f>'10.Grain Production details'!E48</f>
        <v>0</v>
      </c>
      <c r="F17" s="201">
        <f>'10.Grain Production details'!F48</f>
        <v>0</v>
      </c>
      <c r="G17" s="201">
        <f>'10.Grain Production details'!G48</f>
        <v>0</v>
      </c>
      <c r="H17" s="201">
        <f>'10.Grain Production details'!H48</f>
        <v>0</v>
      </c>
    </row>
    <row r="18" spans="1:8">
      <c r="A18" s="201" t="str">
        <f>'10.Grain Production details'!A49</f>
        <v>Jawar</v>
      </c>
      <c r="B18" s="201">
        <f>'10.Grain Production details'!B49</f>
        <v>0</v>
      </c>
      <c r="C18" s="201">
        <f>'10.Grain Production details'!C49</f>
        <v>0</v>
      </c>
      <c r="D18" s="201">
        <f>'10.Grain Production details'!D49</f>
        <v>0</v>
      </c>
      <c r="E18" s="201">
        <f>'10.Grain Production details'!E49</f>
        <v>0</v>
      </c>
      <c r="F18" s="201">
        <f>'10.Grain Production details'!F49</f>
        <v>0</v>
      </c>
      <c r="G18" s="201">
        <f>'10.Grain Production details'!G49</f>
        <v>0</v>
      </c>
      <c r="H18" s="201">
        <f>'10.Grain Production details'!H49</f>
        <v>0</v>
      </c>
    </row>
    <row r="19" spans="1:8">
      <c r="A19" s="201" t="str">
        <f>'10.Grain Production details'!A50</f>
        <v>Sunflower</v>
      </c>
      <c r="B19" s="201">
        <f>'10.Grain Production details'!B50</f>
        <v>0</v>
      </c>
      <c r="C19" s="201">
        <f>'10.Grain Production details'!C50</f>
        <v>0</v>
      </c>
      <c r="D19" s="201">
        <f>'10.Grain Production details'!D50</f>
        <v>0</v>
      </c>
      <c r="E19" s="201">
        <f>'10.Grain Production details'!E50</f>
        <v>0</v>
      </c>
      <c r="F19" s="201">
        <f>'10.Grain Production details'!F50</f>
        <v>0</v>
      </c>
      <c r="G19" s="201">
        <f>'10.Grain Production details'!G50</f>
        <v>0</v>
      </c>
      <c r="H19" s="201">
        <f>'10.Grain Production details'!H50</f>
        <v>0</v>
      </c>
    </row>
    <row r="20" spans="1:8">
      <c r="A20" s="201" t="str">
        <f>'10.Grain Production details'!A51</f>
        <v>Wheat</v>
      </c>
      <c r="B20" s="201">
        <f>'10.Grain Production details'!B51</f>
        <v>0</v>
      </c>
      <c r="C20" s="201">
        <f>'10.Grain Production details'!C51</f>
        <v>0</v>
      </c>
      <c r="D20" s="201">
        <f>'10.Grain Production details'!D51</f>
        <v>0</v>
      </c>
      <c r="E20" s="201">
        <f>'10.Grain Production details'!E51</f>
        <v>0</v>
      </c>
      <c r="F20" s="201">
        <f>'10.Grain Production details'!F51</f>
        <v>0</v>
      </c>
      <c r="G20" s="201">
        <f>'10.Grain Production details'!G51</f>
        <v>0</v>
      </c>
      <c r="H20" s="201">
        <f>'10.Grain Production details'!H51</f>
        <v>0</v>
      </c>
    </row>
    <row r="21" spans="1:8">
      <c r="A21" s="201" t="str">
        <f>'10.Grain Production details'!A52</f>
        <v>Bengal Gram/Channa</v>
      </c>
      <c r="B21" s="201">
        <f>'10.Grain Production details'!B52</f>
        <v>0</v>
      </c>
      <c r="C21" s="201">
        <f>'10.Grain Production details'!C52</f>
        <v>0</v>
      </c>
      <c r="D21" s="201">
        <f>'10.Grain Production details'!D52</f>
        <v>0</v>
      </c>
      <c r="E21" s="201">
        <f>'10.Grain Production details'!E52</f>
        <v>0</v>
      </c>
      <c r="F21" s="201">
        <f>'10.Grain Production details'!F52</f>
        <v>0</v>
      </c>
      <c r="G21" s="201">
        <f>'10.Grain Production details'!G52</f>
        <v>0</v>
      </c>
      <c r="H21" s="201">
        <f>'10.Grain Production details'!H52</f>
        <v>0</v>
      </c>
    </row>
    <row r="22" spans="1:8">
      <c r="A22" s="201" t="str">
        <f>'10.Grain Production details'!A53</f>
        <v>Jawar</v>
      </c>
      <c r="B22" s="201">
        <f>'10.Grain Production details'!B53</f>
        <v>0</v>
      </c>
      <c r="C22" s="201">
        <f>'10.Grain Production details'!C53</f>
        <v>0</v>
      </c>
      <c r="D22" s="201">
        <f>'10.Grain Production details'!D53</f>
        <v>0</v>
      </c>
      <c r="E22" s="201">
        <f>'10.Grain Production details'!E53</f>
        <v>0</v>
      </c>
      <c r="F22" s="201">
        <f>'10.Grain Production details'!F53</f>
        <v>0</v>
      </c>
      <c r="G22" s="201">
        <f>'10.Grain Production details'!G53</f>
        <v>0</v>
      </c>
      <c r="H22" s="201">
        <f>'10.Grain Production details'!H53</f>
        <v>0</v>
      </c>
    </row>
    <row r="23" spans="1:8">
      <c r="A23" s="201" t="str">
        <f>'10.Grain Production details'!A54</f>
        <v>Maize</v>
      </c>
      <c r="B23" s="201">
        <f>'10.Grain Production details'!B54</f>
        <v>0</v>
      </c>
      <c r="C23" s="201">
        <f>'10.Grain Production details'!C54</f>
        <v>0</v>
      </c>
      <c r="D23" s="201">
        <f>'10.Grain Production details'!D54</f>
        <v>0</v>
      </c>
      <c r="E23" s="201">
        <f>'10.Grain Production details'!E54</f>
        <v>0</v>
      </c>
      <c r="F23" s="201">
        <f>'10.Grain Production details'!F54</f>
        <v>0</v>
      </c>
      <c r="G23" s="201">
        <f>'10.Grain Production details'!G54</f>
        <v>0</v>
      </c>
      <c r="H23" s="201">
        <f>'10.Grain Production details'!H54</f>
        <v>0</v>
      </c>
    </row>
    <row r="24" spans="1:8">
      <c r="A24" s="201" t="str">
        <f>'10.Grain Production details'!A55</f>
        <v>Safflower</v>
      </c>
      <c r="B24" s="201">
        <f>'10.Grain Production details'!B55</f>
        <v>0</v>
      </c>
      <c r="C24" s="201">
        <f>'10.Grain Production details'!C55</f>
        <v>0</v>
      </c>
      <c r="D24" s="201">
        <f>'10.Grain Production details'!D55</f>
        <v>0</v>
      </c>
      <c r="E24" s="201">
        <f>'10.Grain Production details'!E55</f>
        <v>0</v>
      </c>
      <c r="F24" s="201">
        <f>'10.Grain Production details'!F55</f>
        <v>0</v>
      </c>
      <c r="G24" s="201">
        <f>'10.Grain Production details'!G55</f>
        <v>0</v>
      </c>
      <c r="H24" s="201">
        <f>'10.Grain Production details'!H55</f>
        <v>0</v>
      </c>
    </row>
    <row r="25" spans="1:8">
      <c r="A25" s="201">
        <f>'10.Grain Production details'!A56</f>
        <v>0</v>
      </c>
      <c r="B25" s="201">
        <f>'10.Grain Production details'!B56</f>
        <v>0</v>
      </c>
      <c r="C25" s="201">
        <f>'10.Grain Production details'!C56</f>
        <v>0</v>
      </c>
      <c r="D25" s="201">
        <f>'10.Grain Production details'!D56</f>
        <v>0</v>
      </c>
      <c r="E25" s="201">
        <f>'10.Grain Production details'!E56</f>
        <v>0</v>
      </c>
      <c r="F25" s="201">
        <f>'10.Grain Production details'!F56</f>
        <v>0</v>
      </c>
      <c r="G25" s="201">
        <f>'10.Grain Production details'!G56</f>
        <v>0</v>
      </c>
      <c r="H25" s="201">
        <f>'10.Grain Production details'!H56</f>
        <v>0</v>
      </c>
    </row>
    <row r="26" spans="1:8">
      <c r="A26" s="201">
        <f>'10.Grain Production details'!A57</f>
        <v>0</v>
      </c>
      <c r="B26" s="201">
        <f>'10.Grain Production details'!B57</f>
        <v>0</v>
      </c>
      <c r="C26" s="201">
        <f>'10.Grain Production details'!C57</f>
        <v>0</v>
      </c>
      <c r="D26" s="201">
        <f>'10.Grain Production details'!D57</f>
        <v>0</v>
      </c>
      <c r="E26" s="201">
        <f>'10.Grain Production details'!E57</f>
        <v>0</v>
      </c>
      <c r="F26" s="201">
        <f>'10.Grain Production details'!F57</f>
        <v>0</v>
      </c>
      <c r="G26" s="201">
        <f>'10.Grain Production details'!G57</f>
        <v>0</v>
      </c>
      <c r="H26" s="201">
        <f>'10.Grain Production details'!H57</f>
        <v>0</v>
      </c>
    </row>
    <row r="27" spans="1:8">
      <c r="A27" s="201">
        <f>'10.Grain Production details'!A58</f>
        <v>0</v>
      </c>
      <c r="B27" s="201">
        <f>'10.Grain Production details'!B58</f>
        <v>0</v>
      </c>
      <c r="C27" s="201">
        <f>'10.Grain Production details'!C58</f>
        <v>0</v>
      </c>
      <c r="D27" s="201">
        <f>'10.Grain Production details'!D58</f>
        <v>0</v>
      </c>
      <c r="E27" s="201">
        <f>'10.Grain Production details'!E58</f>
        <v>0</v>
      </c>
      <c r="F27" s="201">
        <f>'10.Grain Production details'!F58</f>
        <v>0</v>
      </c>
      <c r="G27" s="201">
        <f>'10.Grain Production details'!G58</f>
        <v>0</v>
      </c>
      <c r="H27" s="201">
        <f>'10.Grain Production details'!H58</f>
        <v>0</v>
      </c>
    </row>
    <row r="28" spans="1:8">
      <c r="A28" s="201" t="str">
        <f>'10.Grain Production details'!A59</f>
        <v>Groundnut</v>
      </c>
      <c r="B28" s="201">
        <f>'10.Grain Production details'!B59</f>
        <v>0</v>
      </c>
      <c r="C28" s="201">
        <f>'10.Grain Production details'!C59</f>
        <v>0</v>
      </c>
      <c r="D28" s="201">
        <f>'10.Grain Production details'!D59</f>
        <v>0</v>
      </c>
      <c r="E28" s="201">
        <f>'10.Grain Production details'!E59</f>
        <v>0</v>
      </c>
      <c r="F28" s="201">
        <f>'10.Grain Production details'!F59</f>
        <v>0</v>
      </c>
      <c r="G28" s="201">
        <f>'10.Grain Production details'!G59</f>
        <v>0</v>
      </c>
      <c r="H28" s="201">
        <f>'10.Grain Production details'!H59</f>
        <v>0</v>
      </c>
    </row>
    <row r="29" spans="1:8">
      <c r="A29" s="201">
        <f>'10.Grain Production details'!A60</f>
        <v>0</v>
      </c>
      <c r="B29" s="201">
        <f>'10.Grain Production details'!B60</f>
        <v>0</v>
      </c>
      <c r="C29" s="201">
        <f>'10.Grain Production details'!C60</f>
        <v>0</v>
      </c>
      <c r="D29" s="201">
        <f>'10.Grain Production details'!D60</f>
        <v>0</v>
      </c>
      <c r="E29" s="201">
        <f>'10.Grain Production details'!E60</f>
        <v>0</v>
      </c>
      <c r="F29" s="201">
        <f>'10.Grain Production details'!F60</f>
        <v>0</v>
      </c>
      <c r="G29" s="201">
        <f>'10.Grain Production details'!G60</f>
        <v>0</v>
      </c>
      <c r="H29" s="201">
        <f>'10.Grain Production details'!H60</f>
        <v>0</v>
      </c>
    </row>
    <row r="30" spans="1:8">
      <c r="A30" s="201">
        <f>'10.Grain Production details'!A61</f>
        <v>0</v>
      </c>
      <c r="B30" s="201">
        <f>'10.Grain Production details'!B61</f>
        <v>0</v>
      </c>
      <c r="C30" s="201">
        <f>'10.Grain Production details'!C61</f>
        <v>0</v>
      </c>
      <c r="D30" s="201">
        <f>'10.Grain Production details'!D61</f>
        <v>0</v>
      </c>
      <c r="E30" s="201">
        <f>'10.Grain Production details'!E61</f>
        <v>0</v>
      </c>
      <c r="F30" s="201">
        <f>'10.Grain Production details'!F61</f>
        <v>0</v>
      </c>
      <c r="G30" s="201">
        <f>'10.Grain Production details'!G61</f>
        <v>0</v>
      </c>
      <c r="H30" s="201">
        <f>'10.Grain Production details'!H61</f>
        <v>0</v>
      </c>
    </row>
    <row r="31" spans="1:8">
      <c r="A31" s="201">
        <f>'10.Grain Production details'!A62</f>
        <v>0</v>
      </c>
      <c r="B31" s="201">
        <f>'10.Grain Production details'!B62</f>
        <v>0</v>
      </c>
      <c r="C31" s="201">
        <f>'10.Grain Production details'!C62</f>
        <v>0</v>
      </c>
      <c r="D31" s="201">
        <f>'10.Grain Production details'!D62</f>
        <v>0</v>
      </c>
      <c r="E31" s="201">
        <f>'10.Grain Production details'!E62</f>
        <v>0</v>
      </c>
      <c r="F31" s="201">
        <f>'10.Grain Production details'!F62</f>
        <v>0</v>
      </c>
      <c r="G31" s="201">
        <f>'10.Grain Production details'!G62</f>
        <v>0</v>
      </c>
      <c r="H31" s="201">
        <f>'10.Grain Production details'!H62</f>
        <v>0</v>
      </c>
    </row>
    <row r="32" spans="1:8">
      <c r="A32" s="201">
        <f>'10.Grain Production details'!B63</f>
        <v>0</v>
      </c>
      <c r="B32" s="201">
        <f>'10.Grain Production details'!C63</f>
        <v>0</v>
      </c>
      <c r="C32" s="201">
        <f>'10.Grain Production details'!D63</f>
        <v>0</v>
      </c>
      <c r="D32" s="201">
        <f>'10.Grain Production details'!E63</f>
        <v>0</v>
      </c>
      <c r="E32" s="201">
        <f>'10.Grain Production details'!F63</f>
        <v>0</v>
      </c>
      <c r="F32" s="201">
        <f>'10.Grain Production details'!G63</f>
        <v>0</v>
      </c>
      <c r="G32" s="201">
        <f>'10.Grain Production details'!H63</f>
        <v>0</v>
      </c>
      <c r="H32" s="201">
        <f>'10.Grain Production details'!I63</f>
        <v>0</v>
      </c>
    </row>
    <row r="33" spans="1:8">
      <c r="A33" s="97" t="s">
        <v>477</v>
      </c>
      <c r="B33" s="201">
        <f t="shared" ref="B33:H33" si="1">SUM(B11:B32)</f>
        <v>0</v>
      </c>
      <c r="C33" s="201">
        <f t="shared" si="1"/>
        <v>0</v>
      </c>
      <c r="D33" s="201">
        <f t="shared" si="1"/>
        <v>0</v>
      </c>
      <c r="E33" s="201">
        <f t="shared" si="1"/>
        <v>0</v>
      </c>
      <c r="F33" s="201">
        <f t="shared" si="1"/>
        <v>0</v>
      </c>
      <c r="G33" s="201">
        <f t="shared" si="1"/>
        <v>0</v>
      </c>
      <c r="H33" s="201">
        <f t="shared" si="1"/>
        <v>0</v>
      </c>
    </row>
    <row r="34" spans="1:8">
      <c r="A34" s="201" t="str">
        <f>'11.F&amp;V Crop Production details'!A1:H1</f>
        <v>Fruit  &amp; Vegetables Crop Production Details</v>
      </c>
      <c r="B34" s="201"/>
      <c r="C34" s="201"/>
      <c r="D34" s="201"/>
      <c r="E34" s="201"/>
      <c r="F34" s="201"/>
      <c r="G34" s="201"/>
      <c r="H34" s="201"/>
    </row>
    <row r="35" spans="1:8">
      <c r="A35" s="201" t="str">
        <f>'11.F&amp;V Crop Production details'!A42</f>
        <v>Mango</v>
      </c>
      <c r="B35" s="201">
        <f>'11.F&amp;V Crop Production details'!B42</f>
        <v>0</v>
      </c>
      <c r="C35" s="201">
        <f>'11.F&amp;V Crop Production details'!C42</f>
        <v>0</v>
      </c>
      <c r="D35" s="201">
        <f>'11.F&amp;V Crop Production details'!D42</f>
        <v>0</v>
      </c>
      <c r="E35" s="201">
        <f>'11.F&amp;V Crop Production details'!E42</f>
        <v>0</v>
      </c>
      <c r="F35" s="201">
        <f>'11.F&amp;V Crop Production details'!F42</f>
        <v>0</v>
      </c>
      <c r="G35" s="201">
        <f>'11.F&amp;V Crop Production details'!G42</f>
        <v>0</v>
      </c>
      <c r="H35" s="201">
        <f>'11.F&amp;V Crop Production details'!H42</f>
        <v>0</v>
      </c>
    </row>
    <row r="36" spans="1:8">
      <c r="A36" s="201" t="str">
        <f>'11.F&amp;V Crop Production details'!A43</f>
        <v>Custard Apple</v>
      </c>
      <c r="B36" s="201">
        <f>'11.F&amp;V Crop Production details'!B43</f>
        <v>0</v>
      </c>
      <c r="C36" s="201">
        <f>'11.F&amp;V Crop Production details'!C43</f>
        <v>0</v>
      </c>
      <c r="D36" s="201">
        <f>'11.F&amp;V Crop Production details'!D43</f>
        <v>0</v>
      </c>
      <c r="E36" s="201">
        <f>'11.F&amp;V Crop Production details'!E43</f>
        <v>0</v>
      </c>
      <c r="F36" s="201">
        <f>'11.F&amp;V Crop Production details'!F43</f>
        <v>0</v>
      </c>
      <c r="G36" s="201">
        <f>'11.F&amp;V Crop Production details'!G43</f>
        <v>0</v>
      </c>
      <c r="H36" s="201">
        <f>'11.F&amp;V Crop Production details'!H43</f>
        <v>0</v>
      </c>
    </row>
    <row r="37" spans="1:8">
      <c r="A37" s="201" t="str">
        <f>'11.F&amp;V Crop Production details'!A44</f>
        <v>Guava</v>
      </c>
      <c r="B37" s="201">
        <f>'11.F&amp;V Crop Production details'!B44</f>
        <v>0</v>
      </c>
      <c r="C37" s="201">
        <f>'11.F&amp;V Crop Production details'!C44</f>
        <v>0</v>
      </c>
      <c r="D37" s="201">
        <f>'11.F&amp;V Crop Production details'!D44</f>
        <v>0</v>
      </c>
      <c r="E37" s="201">
        <f>'11.F&amp;V Crop Production details'!E44</f>
        <v>0</v>
      </c>
      <c r="F37" s="201">
        <f>'11.F&amp;V Crop Production details'!F44</f>
        <v>0</v>
      </c>
      <c r="G37" s="201">
        <f>'11.F&amp;V Crop Production details'!G44</f>
        <v>0</v>
      </c>
      <c r="H37" s="201">
        <f>'11.F&amp;V Crop Production details'!H44</f>
        <v>0</v>
      </c>
    </row>
    <row r="38" spans="1:8">
      <c r="A38" s="201">
        <f>'11.F&amp;V Crop Production details'!A45</f>
        <v>0</v>
      </c>
      <c r="B38" s="201">
        <f>'11.F&amp;V Crop Production details'!B45</f>
        <v>0</v>
      </c>
      <c r="C38" s="201">
        <f>'11.F&amp;V Crop Production details'!C45</f>
        <v>0</v>
      </c>
      <c r="D38" s="201">
        <f>'11.F&amp;V Crop Production details'!D45</f>
        <v>0</v>
      </c>
      <c r="E38" s="201">
        <f>'11.F&amp;V Crop Production details'!E45</f>
        <v>0</v>
      </c>
      <c r="F38" s="201">
        <f>'11.F&amp;V Crop Production details'!F45</f>
        <v>0</v>
      </c>
      <c r="G38" s="201">
        <f>'11.F&amp;V Crop Production details'!G45</f>
        <v>0</v>
      </c>
      <c r="H38" s="201">
        <f>'11.F&amp;V Crop Production details'!H45</f>
        <v>0</v>
      </c>
    </row>
    <row r="39" spans="1:8">
      <c r="A39" s="201">
        <f>'11.F&amp;V Crop Production details'!A46</f>
        <v>0</v>
      </c>
      <c r="B39" s="201">
        <f>'11.F&amp;V Crop Production details'!B46</f>
        <v>0</v>
      </c>
      <c r="C39" s="201">
        <f>'11.F&amp;V Crop Production details'!C46</f>
        <v>0</v>
      </c>
      <c r="D39" s="201">
        <f>'11.F&amp;V Crop Production details'!D46</f>
        <v>0</v>
      </c>
      <c r="E39" s="201">
        <f>'11.F&amp;V Crop Production details'!E46</f>
        <v>0</v>
      </c>
      <c r="F39" s="201">
        <f>'11.F&amp;V Crop Production details'!F46</f>
        <v>0</v>
      </c>
      <c r="G39" s="201">
        <f>'11.F&amp;V Crop Production details'!G46</f>
        <v>0</v>
      </c>
      <c r="H39" s="201">
        <f>'11.F&amp;V Crop Production details'!H46</f>
        <v>0</v>
      </c>
    </row>
    <row r="40" spans="1:8">
      <c r="A40" s="201">
        <f>'11.F&amp;V Crop Production details'!A47</f>
        <v>0</v>
      </c>
      <c r="B40" s="201">
        <f>'11.F&amp;V Crop Production details'!B47</f>
        <v>0</v>
      </c>
      <c r="C40" s="201">
        <f>'11.F&amp;V Crop Production details'!C47</f>
        <v>0</v>
      </c>
      <c r="D40" s="201">
        <f>'11.F&amp;V Crop Production details'!D47</f>
        <v>0</v>
      </c>
      <c r="E40" s="201">
        <f>'11.F&amp;V Crop Production details'!E47</f>
        <v>0</v>
      </c>
      <c r="F40" s="201">
        <f>'11.F&amp;V Crop Production details'!F47</f>
        <v>0</v>
      </c>
      <c r="G40" s="201">
        <f>'11.F&amp;V Crop Production details'!G47</f>
        <v>0</v>
      </c>
      <c r="H40" s="201">
        <f>'11.F&amp;V Crop Production details'!H47</f>
        <v>0</v>
      </c>
    </row>
    <row r="41" spans="1:8">
      <c r="A41" s="201">
        <f>'11.F&amp;V Crop Production details'!A48</f>
        <v>0</v>
      </c>
      <c r="B41" s="201">
        <f>'11.F&amp;V Crop Production details'!B48</f>
        <v>0</v>
      </c>
      <c r="C41" s="201">
        <f>'11.F&amp;V Crop Production details'!C48</f>
        <v>0</v>
      </c>
      <c r="D41" s="201">
        <f>'11.F&amp;V Crop Production details'!D48</f>
        <v>0</v>
      </c>
      <c r="E41" s="201">
        <f>'11.F&amp;V Crop Production details'!E48</f>
        <v>0</v>
      </c>
      <c r="F41" s="201">
        <f>'11.F&amp;V Crop Production details'!F48</f>
        <v>0</v>
      </c>
      <c r="G41" s="201">
        <f>'11.F&amp;V Crop Production details'!G48</f>
        <v>0</v>
      </c>
      <c r="H41" s="201">
        <f>'11.F&amp;V Crop Production details'!H48</f>
        <v>0</v>
      </c>
    </row>
    <row r="42" spans="1:8">
      <c r="A42" s="201">
        <f>'11.F&amp;V Crop Production details'!A49</f>
        <v>0</v>
      </c>
      <c r="B42" s="201">
        <f>'11.F&amp;V Crop Production details'!B49</f>
        <v>0</v>
      </c>
      <c r="C42" s="201">
        <f>'11.F&amp;V Crop Production details'!C49</f>
        <v>0</v>
      </c>
      <c r="D42" s="201">
        <f>'11.F&amp;V Crop Production details'!D49</f>
        <v>0</v>
      </c>
      <c r="E42" s="201">
        <f>'11.F&amp;V Crop Production details'!E49</f>
        <v>0</v>
      </c>
      <c r="F42" s="201">
        <f>'11.F&amp;V Crop Production details'!F49</f>
        <v>0</v>
      </c>
      <c r="G42" s="201">
        <f>'11.F&amp;V Crop Production details'!G49</f>
        <v>0</v>
      </c>
      <c r="H42" s="201">
        <f>'11.F&amp;V Crop Production details'!H49</f>
        <v>0</v>
      </c>
    </row>
    <row r="43" spans="1:8">
      <c r="A43" s="201">
        <f>'11.F&amp;V Crop Production details'!A50</f>
        <v>0</v>
      </c>
      <c r="B43" s="201">
        <f>'11.F&amp;V Crop Production details'!B50</f>
        <v>0</v>
      </c>
      <c r="C43" s="201">
        <f>'11.F&amp;V Crop Production details'!C50</f>
        <v>0</v>
      </c>
      <c r="D43" s="201">
        <f>'11.F&amp;V Crop Production details'!D50</f>
        <v>0</v>
      </c>
      <c r="E43" s="201">
        <f>'11.F&amp;V Crop Production details'!E50</f>
        <v>0</v>
      </c>
      <c r="F43" s="201">
        <f>'11.F&amp;V Crop Production details'!F50</f>
        <v>0</v>
      </c>
      <c r="G43" s="201">
        <f>'11.F&amp;V Crop Production details'!G50</f>
        <v>0</v>
      </c>
      <c r="H43" s="201">
        <f>'11.F&amp;V Crop Production details'!H50</f>
        <v>0</v>
      </c>
    </row>
    <row r="44" spans="1:8">
      <c r="A44" s="201" t="str">
        <f>'11.F&amp;V Crop Production details'!A51</f>
        <v>Mango</v>
      </c>
      <c r="B44" s="201">
        <f>'11.F&amp;V Crop Production details'!B51</f>
        <v>0</v>
      </c>
      <c r="C44" s="201">
        <f>'11.F&amp;V Crop Production details'!C51</f>
        <v>0</v>
      </c>
      <c r="D44" s="201">
        <f>'11.F&amp;V Crop Production details'!D51</f>
        <v>0</v>
      </c>
      <c r="E44" s="201">
        <f>'11.F&amp;V Crop Production details'!E51</f>
        <v>0</v>
      </c>
      <c r="F44" s="201">
        <f>'11.F&amp;V Crop Production details'!F51</f>
        <v>0</v>
      </c>
      <c r="G44" s="201">
        <f>'11.F&amp;V Crop Production details'!G51</f>
        <v>0</v>
      </c>
      <c r="H44" s="201">
        <f>'11.F&amp;V Crop Production details'!H51</f>
        <v>0</v>
      </c>
    </row>
    <row r="45" spans="1:8">
      <c r="A45" s="201" t="str">
        <f>'11.F&amp;V Crop Production details'!A52</f>
        <v>Custard Apple</v>
      </c>
      <c r="B45" s="201">
        <f>'11.F&amp;V Crop Production details'!B52</f>
        <v>0</v>
      </c>
      <c r="C45" s="201">
        <f>'11.F&amp;V Crop Production details'!C52</f>
        <v>0</v>
      </c>
      <c r="D45" s="201">
        <f>'11.F&amp;V Crop Production details'!D52</f>
        <v>0</v>
      </c>
      <c r="E45" s="201">
        <f>'11.F&amp;V Crop Production details'!E52</f>
        <v>0</v>
      </c>
      <c r="F45" s="201">
        <f>'11.F&amp;V Crop Production details'!F52</f>
        <v>0</v>
      </c>
      <c r="G45" s="201">
        <f>'11.F&amp;V Crop Production details'!G52</f>
        <v>0</v>
      </c>
      <c r="H45" s="201">
        <f>'11.F&amp;V Crop Production details'!H52</f>
        <v>0</v>
      </c>
    </row>
    <row r="46" spans="1:8">
      <c r="A46" s="201" t="str">
        <f>'11.F&amp;V Crop Production details'!A53</f>
        <v>Guava</v>
      </c>
      <c r="B46" s="201">
        <f>'11.F&amp;V Crop Production details'!B53</f>
        <v>0</v>
      </c>
      <c r="C46" s="201">
        <f>'11.F&amp;V Crop Production details'!C53</f>
        <v>0</v>
      </c>
      <c r="D46" s="201">
        <f>'11.F&amp;V Crop Production details'!D53</f>
        <v>0</v>
      </c>
      <c r="E46" s="201">
        <f>'11.F&amp;V Crop Production details'!E53</f>
        <v>0</v>
      </c>
      <c r="F46" s="201">
        <f>'11.F&amp;V Crop Production details'!F53</f>
        <v>0</v>
      </c>
      <c r="G46" s="201">
        <f>'11.F&amp;V Crop Production details'!G53</f>
        <v>0</v>
      </c>
      <c r="H46" s="201">
        <f>'11.F&amp;V Crop Production details'!H53</f>
        <v>0</v>
      </c>
    </row>
    <row r="47" spans="1:8">
      <c r="A47" s="201">
        <f>'11.F&amp;V Crop Production details'!A54</f>
        <v>0</v>
      </c>
      <c r="B47" s="201">
        <f>'11.F&amp;V Crop Production details'!B54</f>
        <v>0</v>
      </c>
      <c r="C47" s="201">
        <f>'11.F&amp;V Crop Production details'!C54</f>
        <v>0</v>
      </c>
      <c r="D47" s="201">
        <f>'11.F&amp;V Crop Production details'!D54</f>
        <v>0</v>
      </c>
      <c r="E47" s="201">
        <f>'11.F&amp;V Crop Production details'!E54</f>
        <v>0</v>
      </c>
      <c r="F47" s="201">
        <f>'11.F&amp;V Crop Production details'!F54</f>
        <v>0</v>
      </c>
      <c r="G47" s="201">
        <f>'11.F&amp;V Crop Production details'!G54</f>
        <v>0</v>
      </c>
      <c r="H47" s="201">
        <f>'11.F&amp;V Crop Production details'!H54</f>
        <v>0</v>
      </c>
    </row>
    <row r="48" spans="1:8">
      <c r="A48" s="201">
        <f>'11.F&amp;V Crop Production details'!A56</f>
        <v>0</v>
      </c>
      <c r="B48" s="201"/>
      <c r="C48" s="201"/>
      <c r="D48" s="201"/>
      <c r="E48" s="201"/>
      <c r="F48" s="201"/>
      <c r="G48" s="201"/>
      <c r="H48" s="201"/>
    </row>
    <row r="49" spans="1:8">
      <c r="A49" s="201">
        <f>'11.F&amp;V Crop Production details'!A57</f>
        <v>0</v>
      </c>
      <c r="B49" s="201"/>
      <c r="C49" s="201"/>
      <c r="D49" s="201"/>
      <c r="E49" s="201"/>
      <c r="F49" s="201"/>
      <c r="G49" s="201"/>
      <c r="H49" s="201"/>
    </row>
    <row r="50" spans="1:8">
      <c r="A50" s="201">
        <f>'11.F&amp;V Crop Production details'!A58</f>
        <v>0</v>
      </c>
      <c r="B50" s="201"/>
      <c r="C50" s="201"/>
      <c r="D50" s="201"/>
      <c r="E50" s="201"/>
      <c r="F50" s="201"/>
      <c r="G50" s="201"/>
      <c r="H50" s="201"/>
    </row>
    <row r="51" spans="1:8">
      <c r="A51" s="201" t="str">
        <f>'11.F&amp;V Crop Production details'!A59</f>
        <v>Mango</v>
      </c>
      <c r="B51" s="201">
        <f>'11.F&amp;V Crop Production details'!B59</f>
        <v>0</v>
      </c>
      <c r="C51" s="201">
        <f>'11.F&amp;V Crop Production details'!C59</f>
        <v>0</v>
      </c>
      <c r="D51" s="201">
        <f>'11.F&amp;V Crop Production details'!D59</f>
        <v>0</v>
      </c>
      <c r="E51" s="201">
        <f>'11.F&amp;V Crop Production details'!E59</f>
        <v>0</v>
      </c>
      <c r="F51" s="201">
        <f>'11.F&amp;V Crop Production details'!F59</f>
        <v>0</v>
      </c>
      <c r="G51" s="201">
        <f>'11.F&amp;V Crop Production details'!G59</f>
        <v>0</v>
      </c>
      <c r="H51" s="201">
        <f>'11.F&amp;V Crop Production details'!H59</f>
        <v>0</v>
      </c>
    </row>
    <row r="52" spans="1:8">
      <c r="A52" s="201" t="str">
        <f>'11.F&amp;V Crop Production details'!A60</f>
        <v>Custard Apple</v>
      </c>
      <c r="B52" s="201">
        <f>'11.F&amp;V Crop Production details'!B60</f>
        <v>0</v>
      </c>
      <c r="C52" s="201">
        <f>'11.F&amp;V Crop Production details'!C60</f>
        <v>0</v>
      </c>
      <c r="D52" s="201">
        <f>'11.F&amp;V Crop Production details'!D60</f>
        <v>0</v>
      </c>
      <c r="E52" s="201">
        <f>'11.F&amp;V Crop Production details'!E60</f>
        <v>0</v>
      </c>
      <c r="F52" s="201">
        <f>'11.F&amp;V Crop Production details'!F60</f>
        <v>0</v>
      </c>
      <c r="G52" s="201">
        <f>'11.F&amp;V Crop Production details'!G60</f>
        <v>0</v>
      </c>
      <c r="H52" s="201">
        <f>'11.F&amp;V Crop Production details'!H60</f>
        <v>0</v>
      </c>
    </row>
    <row r="53" spans="1:8">
      <c r="A53" s="201" t="str">
        <f>'11.F&amp;V Crop Production details'!A61</f>
        <v>Guava</v>
      </c>
      <c r="B53" s="201">
        <f>'11.F&amp;V Crop Production details'!B61</f>
        <v>0</v>
      </c>
      <c r="C53" s="201">
        <f>'11.F&amp;V Crop Production details'!C61</f>
        <v>0</v>
      </c>
      <c r="D53" s="201">
        <f>'11.F&amp;V Crop Production details'!D61</f>
        <v>0</v>
      </c>
      <c r="E53" s="201">
        <f>'11.F&amp;V Crop Production details'!E61</f>
        <v>0</v>
      </c>
      <c r="F53" s="201">
        <f>'11.F&amp;V Crop Production details'!F61</f>
        <v>0</v>
      </c>
      <c r="G53" s="201">
        <f>'11.F&amp;V Crop Production details'!G61</f>
        <v>0</v>
      </c>
      <c r="H53" s="201">
        <f>'11.F&amp;V Crop Production details'!H61</f>
        <v>0</v>
      </c>
    </row>
    <row r="54" spans="1:8">
      <c r="A54" s="201">
        <f>'11.F&amp;V Crop Production details'!A62</f>
        <v>0</v>
      </c>
      <c r="B54" s="201">
        <f>'11.F&amp;V Crop Production details'!B62</f>
        <v>0</v>
      </c>
      <c r="C54" s="201">
        <f>'11.F&amp;V Crop Production details'!C62</f>
        <v>0</v>
      </c>
      <c r="D54" s="201">
        <f>'11.F&amp;V Crop Production details'!D62</f>
        <v>0</v>
      </c>
      <c r="E54" s="201">
        <f>'11.F&amp;V Crop Production details'!E62</f>
        <v>0</v>
      </c>
      <c r="F54" s="201">
        <f>'11.F&amp;V Crop Production details'!F62</f>
        <v>0</v>
      </c>
      <c r="G54" s="201">
        <f>'11.F&amp;V Crop Production details'!G62</f>
        <v>0</v>
      </c>
      <c r="H54" s="201">
        <f>'11.F&amp;V Crop Production details'!H62</f>
        <v>0</v>
      </c>
    </row>
    <row r="55" spans="1:8">
      <c r="A55" s="201"/>
      <c r="B55" s="201"/>
      <c r="C55" s="201"/>
      <c r="D55" s="201"/>
      <c r="E55" s="201"/>
      <c r="F55" s="201"/>
      <c r="G55" s="201"/>
      <c r="H55" s="201"/>
    </row>
    <row r="56" spans="1:8">
      <c r="A56" s="97" t="s">
        <v>476</v>
      </c>
      <c r="B56" s="201">
        <f t="shared" ref="B56:H56" si="2">SUM(B35:B54)</f>
        <v>0</v>
      </c>
      <c r="C56" s="201">
        <f t="shared" si="2"/>
        <v>0</v>
      </c>
      <c r="D56" s="201">
        <f t="shared" si="2"/>
        <v>0</v>
      </c>
      <c r="E56" s="201">
        <f t="shared" si="2"/>
        <v>0</v>
      </c>
      <c r="F56" s="201">
        <f t="shared" si="2"/>
        <v>0</v>
      </c>
      <c r="G56" s="201">
        <f t="shared" si="2"/>
        <v>0</v>
      </c>
      <c r="H56" s="201">
        <f t="shared" si="2"/>
        <v>0</v>
      </c>
    </row>
    <row r="57" spans="1:8">
      <c r="A57" s="283" t="s">
        <v>478</v>
      </c>
      <c r="B57" s="302">
        <v>0.5</v>
      </c>
      <c r="C57" s="302">
        <v>0.5</v>
      </c>
      <c r="D57" s="302">
        <v>0.5</v>
      </c>
      <c r="E57" s="302">
        <v>0.5</v>
      </c>
      <c r="F57" s="302">
        <v>0.5</v>
      </c>
      <c r="G57" s="302">
        <v>0.5</v>
      </c>
      <c r="H57" s="302">
        <v>0.5</v>
      </c>
    </row>
    <row r="58" spans="1:8">
      <c r="A58" s="283" t="s">
        <v>479</v>
      </c>
      <c r="B58" s="302">
        <f t="shared" ref="B58:H58" si="3">1-B57</f>
        <v>0.5</v>
      </c>
      <c r="C58" s="302">
        <f t="shared" si="3"/>
        <v>0.5</v>
      </c>
      <c r="D58" s="302">
        <f t="shared" si="3"/>
        <v>0.5</v>
      </c>
      <c r="E58" s="302">
        <f t="shared" si="3"/>
        <v>0.5</v>
      </c>
      <c r="F58" s="302">
        <f t="shared" si="3"/>
        <v>0.5</v>
      </c>
      <c r="G58" s="302">
        <f t="shared" si="3"/>
        <v>0.5</v>
      </c>
      <c r="H58" s="302">
        <f t="shared" si="3"/>
        <v>0.5</v>
      </c>
    </row>
    <row r="59" spans="1:8">
      <c r="A59" s="283"/>
      <c r="B59" s="302"/>
      <c r="C59" s="302"/>
      <c r="D59" s="302"/>
      <c r="E59" s="302"/>
      <c r="F59" s="302"/>
      <c r="G59" s="302"/>
      <c r="H59" s="302"/>
    </row>
    <row r="60" spans="1:8">
      <c r="A60" s="283" t="s">
        <v>130</v>
      </c>
      <c r="B60" s="284">
        <f t="shared" ref="B60:H60" si="4">B33*B57</f>
        <v>0</v>
      </c>
      <c r="C60" s="284">
        <f t="shared" si="4"/>
        <v>0</v>
      </c>
      <c r="D60" s="284">
        <f t="shared" si="4"/>
        <v>0</v>
      </c>
      <c r="E60" s="284">
        <f t="shared" si="4"/>
        <v>0</v>
      </c>
      <c r="F60" s="284">
        <f t="shared" si="4"/>
        <v>0</v>
      </c>
      <c r="G60" s="284">
        <f t="shared" si="4"/>
        <v>0</v>
      </c>
      <c r="H60" s="284">
        <f t="shared" si="4"/>
        <v>0</v>
      </c>
    </row>
    <row r="61" spans="1:8">
      <c r="A61" s="97"/>
      <c r="B61" s="201"/>
      <c r="C61" s="201"/>
      <c r="D61" s="201"/>
      <c r="E61" s="201"/>
      <c r="F61" s="201"/>
      <c r="G61" s="201"/>
      <c r="H61" s="201"/>
    </row>
    <row r="62" spans="1:8">
      <c r="A62" s="97" t="s">
        <v>131</v>
      </c>
      <c r="B62" s="201"/>
      <c r="C62" s="201"/>
      <c r="D62" s="201"/>
      <c r="E62" s="201"/>
      <c r="F62" s="201"/>
      <c r="G62" s="201"/>
      <c r="H62" s="201"/>
    </row>
    <row r="63" spans="1:8">
      <c r="A63" s="95" t="str">
        <f t="shared" ref="A63:A84" si="5">A11</f>
        <v>Soybean</v>
      </c>
      <c r="B63" s="300">
        <f t="shared" ref="B63:B84" si="6">B11*$B$58</f>
        <v>0</v>
      </c>
      <c r="C63" s="300">
        <f t="shared" ref="C63:C78" si="7">C11*$C$58</f>
        <v>0</v>
      </c>
      <c r="D63" s="300">
        <f t="shared" ref="D63:D78" si="8">D11*$D$58</f>
        <v>0</v>
      </c>
      <c r="E63" s="300">
        <f t="shared" ref="E63:E78" si="9">E11*$E$58</f>
        <v>0</v>
      </c>
      <c r="F63" s="300">
        <f t="shared" ref="F63:F78" si="10">F11*$F$58</f>
        <v>0</v>
      </c>
      <c r="G63" s="300">
        <f t="shared" ref="G63:G78" si="11">G11*$G$58</f>
        <v>0</v>
      </c>
      <c r="H63" s="300">
        <f t="shared" ref="H63:H78" si="12">H11*$H$58</f>
        <v>0</v>
      </c>
    </row>
    <row r="64" spans="1:8">
      <c r="A64" s="95" t="str">
        <f t="shared" si="5"/>
        <v>Red Gram/Tur</v>
      </c>
      <c r="B64" s="300">
        <f t="shared" si="6"/>
        <v>0</v>
      </c>
      <c r="C64" s="300">
        <f t="shared" si="7"/>
        <v>0</v>
      </c>
      <c r="D64" s="300">
        <f t="shared" si="8"/>
        <v>0</v>
      </c>
      <c r="E64" s="300">
        <f t="shared" si="9"/>
        <v>0</v>
      </c>
      <c r="F64" s="300">
        <f t="shared" si="10"/>
        <v>0</v>
      </c>
      <c r="G64" s="300">
        <f t="shared" si="11"/>
        <v>0</v>
      </c>
      <c r="H64" s="300">
        <f t="shared" si="12"/>
        <v>0</v>
      </c>
    </row>
    <row r="65" spans="1:8">
      <c r="A65" s="95" t="str">
        <f t="shared" si="5"/>
        <v>Paddy/Rice</v>
      </c>
      <c r="B65" s="300">
        <f t="shared" si="6"/>
        <v>0</v>
      </c>
      <c r="C65" s="300">
        <f t="shared" si="7"/>
        <v>0</v>
      </c>
      <c r="D65" s="300">
        <f t="shared" si="8"/>
        <v>0</v>
      </c>
      <c r="E65" s="300">
        <f t="shared" si="9"/>
        <v>0</v>
      </c>
      <c r="F65" s="300">
        <f t="shared" si="10"/>
        <v>0</v>
      </c>
      <c r="G65" s="300">
        <f t="shared" si="11"/>
        <v>0</v>
      </c>
      <c r="H65" s="300">
        <f t="shared" si="12"/>
        <v>0</v>
      </c>
    </row>
    <row r="66" spans="1:8">
      <c r="A66" s="95" t="str">
        <f t="shared" si="5"/>
        <v>Green Gram/ Moong</v>
      </c>
      <c r="B66" s="300">
        <f t="shared" si="6"/>
        <v>0</v>
      </c>
      <c r="C66" s="300">
        <f t="shared" si="7"/>
        <v>0</v>
      </c>
      <c r="D66" s="300">
        <f t="shared" si="8"/>
        <v>0</v>
      </c>
      <c r="E66" s="300">
        <f t="shared" si="9"/>
        <v>0</v>
      </c>
      <c r="F66" s="300">
        <f t="shared" si="10"/>
        <v>0</v>
      </c>
      <c r="G66" s="300">
        <f t="shared" si="11"/>
        <v>0</v>
      </c>
      <c r="H66" s="300">
        <f t="shared" si="12"/>
        <v>0</v>
      </c>
    </row>
    <row r="67" spans="1:8">
      <c r="A67" s="95" t="str">
        <f t="shared" si="5"/>
        <v>Maize</v>
      </c>
      <c r="B67" s="300">
        <f t="shared" si="6"/>
        <v>0</v>
      </c>
      <c r="C67" s="300">
        <f t="shared" si="7"/>
        <v>0</v>
      </c>
      <c r="D67" s="300">
        <f t="shared" si="8"/>
        <v>0</v>
      </c>
      <c r="E67" s="300">
        <f t="shared" si="9"/>
        <v>0</v>
      </c>
      <c r="F67" s="300">
        <f t="shared" si="10"/>
        <v>0</v>
      </c>
      <c r="G67" s="300">
        <f t="shared" si="11"/>
        <v>0</v>
      </c>
      <c r="H67" s="300">
        <f t="shared" si="12"/>
        <v>0</v>
      </c>
    </row>
    <row r="68" spans="1:8">
      <c r="A68" s="95" t="str">
        <f t="shared" si="5"/>
        <v>Black Gram/Udid</v>
      </c>
      <c r="B68" s="300">
        <f t="shared" si="6"/>
        <v>0</v>
      </c>
      <c r="C68" s="300">
        <f t="shared" si="7"/>
        <v>0</v>
      </c>
      <c r="D68" s="300">
        <f t="shared" si="8"/>
        <v>0</v>
      </c>
      <c r="E68" s="300">
        <f t="shared" si="9"/>
        <v>0</v>
      </c>
      <c r="F68" s="300">
        <f t="shared" si="10"/>
        <v>0</v>
      </c>
      <c r="G68" s="300">
        <f t="shared" si="11"/>
        <v>0</v>
      </c>
      <c r="H68" s="300">
        <f t="shared" si="12"/>
        <v>0</v>
      </c>
    </row>
    <row r="69" spans="1:8">
      <c r="A69" s="95" t="str">
        <f t="shared" si="5"/>
        <v>Bajra</v>
      </c>
      <c r="B69" s="300">
        <f t="shared" si="6"/>
        <v>0</v>
      </c>
      <c r="C69" s="300">
        <f t="shared" si="7"/>
        <v>0</v>
      </c>
      <c r="D69" s="300">
        <f t="shared" si="8"/>
        <v>0</v>
      </c>
      <c r="E69" s="300">
        <f t="shared" si="9"/>
        <v>0</v>
      </c>
      <c r="F69" s="300">
        <f t="shared" si="10"/>
        <v>0</v>
      </c>
      <c r="G69" s="300">
        <f t="shared" si="11"/>
        <v>0</v>
      </c>
      <c r="H69" s="300">
        <f t="shared" si="12"/>
        <v>0</v>
      </c>
    </row>
    <row r="70" spans="1:8">
      <c r="A70" s="95" t="str">
        <f t="shared" si="5"/>
        <v>Jawar</v>
      </c>
      <c r="B70" s="300">
        <f t="shared" si="6"/>
        <v>0</v>
      </c>
      <c r="C70" s="300">
        <f t="shared" si="7"/>
        <v>0</v>
      </c>
      <c r="D70" s="300">
        <f t="shared" si="8"/>
        <v>0</v>
      </c>
      <c r="E70" s="300">
        <f t="shared" si="9"/>
        <v>0</v>
      </c>
      <c r="F70" s="300">
        <f t="shared" si="10"/>
        <v>0</v>
      </c>
      <c r="G70" s="300">
        <f t="shared" si="11"/>
        <v>0</v>
      </c>
      <c r="H70" s="300">
        <f t="shared" si="12"/>
        <v>0</v>
      </c>
    </row>
    <row r="71" spans="1:8">
      <c r="A71" s="95" t="str">
        <f t="shared" si="5"/>
        <v>Sunflower</v>
      </c>
      <c r="B71" s="300">
        <f t="shared" si="6"/>
        <v>0</v>
      </c>
      <c r="C71" s="300">
        <f t="shared" si="7"/>
        <v>0</v>
      </c>
      <c r="D71" s="300">
        <f t="shared" si="8"/>
        <v>0</v>
      </c>
      <c r="E71" s="300">
        <f t="shared" si="9"/>
        <v>0</v>
      </c>
      <c r="F71" s="300">
        <f t="shared" si="10"/>
        <v>0</v>
      </c>
      <c r="G71" s="300">
        <f t="shared" si="11"/>
        <v>0</v>
      </c>
      <c r="H71" s="300">
        <f t="shared" si="12"/>
        <v>0</v>
      </c>
    </row>
    <row r="72" spans="1:8">
      <c r="A72" s="95" t="str">
        <f t="shared" si="5"/>
        <v>Wheat</v>
      </c>
      <c r="B72" s="300">
        <f t="shared" si="6"/>
        <v>0</v>
      </c>
      <c r="C72" s="300">
        <f t="shared" si="7"/>
        <v>0</v>
      </c>
      <c r="D72" s="300">
        <f t="shared" si="8"/>
        <v>0</v>
      </c>
      <c r="E72" s="300">
        <f t="shared" si="9"/>
        <v>0</v>
      </c>
      <c r="F72" s="300">
        <f t="shared" si="10"/>
        <v>0</v>
      </c>
      <c r="G72" s="300">
        <f t="shared" si="11"/>
        <v>0</v>
      </c>
      <c r="H72" s="300">
        <f t="shared" si="12"/>
        <v>0</v>
      </c>
    </row>
    <row r="73" spans="1:8">
      <c r="A73" s="95" t="str">
        <f t="shared" si="5"/>
        <v>Bengal Gram/Channa</v>
      </c>
      <c r="B73" s="300">
        <f t="shared" si="6"/>
        <v>0</v>
      </c>
      <c r="C73" s="300">
        <f t="shared" si="7"/>
        <v>0</v>
      </c>
      <c r="D73" s="300">
        <f t="shared" si="8"/>
        <v>0</v>
      </c>
      <c r="E73" s="300">
        <f t="shared" si="9"/>
        <v>0</v>
      </c>
      <c r="F73" s="300">
        <f t="shared" si="10"/>
        <v>0</v>
      </c>
      <c r="G73" s="300">
        <f t="shared" si="11"/>
        <v>0</v>
      </c>
      <c r="H73" s="300">
        <f t="shared" si="12"/>
        <v>0</v>
      </c>
    </row>
    <row r="74" spans="1:8">
      <c r="A74" s="95" t="str">
        <f t="shared" si="5"/>
        <v>Jawar</v>
      </c>
      <c r="B74" s="300">
        <f t="shared" si="6"/>
        <v>0</v>
      </c>
      <c r="C74" s="300">
        <f t="shared" si="7"/>
        <v>0</v>
      </c>
      <c r="D74" s="300">
        <f t="shared" si="8"/>
        <v>0</v>
      </c>
      <c r="E74" s="300">
        <f t="shared" si="9"/>
        <v>0</v>
      </c>
      <c r="F74" s="300">
        <f t="shared" si="10"/>
        <v>0</v>
      </c>
      <c r="G74" s="300">
        <f t="shared" si="11"/>
        <v>0</v>
      </c>
      <c r="H74" s="300">
        <f t="shared" si="12"/>
        <v>0</v>
      </c>
    </row>
    <row r="75" spans="1:8">
      <c r="A75" s="95" t="str">
        <f t="shared" si="5"/>
        <v>Maize</v>
      </c>
      <c r="B75" s="300">
        <f t="shared" si="6"/>
        <v>0</v>
      </c>
      <c r="C75" s="300">
        <f t="shared" si="7"/>
        <v>0</v>
      </c>
      <c r="D75" s="300">
        <f t="shared" si="8"/>
        <v>0</v>
      </c>
      <c r="E75" s="300">
        <f t="shared" si="9"/>
        <v>0</v>
      </c>
      <c r="F75" s="300">
        <f t="shared" si="10"/>
        <v>0</v>
      </c>
      <c r="G75" s="300">
        <f t="shared" si="11"/>
        <v>0</v>
      </c>
      <c r="H75" s="300">
        <f t="shared" si="12"/>
        <v>0</v>
      </c>
    </row>
    <row r="76" spans="1:8">
      <c r="A76" s="95" t="str">
        <f t="shared" si="5"/>
        <v>Safflower</v>
      </c>
      <c r="B76" s="300">
        <f t="shared" si="6"/>
        <v>0</v>
      </c>
      <c r="C76" s="300">
        <f t="shared" si="7"/>
        <v>0</v>
      </c>
      <c r="D76" s="300">
        <f t="shared" si="8"/>
        <v>0</v>
      </c>
      <c r="E76" s="300">
        <f t="shared" si="9"/>
        <v>0</v>
      </c>
      <c r="F76" s="300">
        <f t="shared" si="10"/>
        <v>0</v>
      </c>
      <c r="G76" s="300">
        <f t="shared" si="11"/>
        <v>0</v>
      </c>
      <c r="H76" s="300">
        <f t="shared" si="12"/>
        <v>0</v>
      </c>
    </row>
    <row r="77" spans="1:8">
      <c r="A77" s="95">
        <f t="shared" si="5"/>
        <v>0</v>
      </c>
      <c r="B77" s="300">
        <f t="shared" si="6"/>
        <v>0</v>
      </c>
      <c r="C77" s="300">
        <f t="shared" si="7"/>
        <v>0</v>
      </c>
      <c r="D77" s="300">
        <f t="shared" si="8"/>
        <v>0</v>
      </c>
      <c r="E77" s="300">
        <f t="shared" si="9"/>
        <v>0</v>
      </c>
      <c r="F77" s="300">
        <f t="shared" si="10"/>
        <v>0</v>
      </c>
      <c r="G77" s="300">
        <f t="shared" si="11"/>
        <v>0</v>
      </c>
      <c r="H77" s="300">
        <f t="shared" si="12"/>
        <v>0</v>
      </c>
    </row>
    <row r="78" spans="1:8">
      <c r="A78" s="95">
        <f t="shared" si="5"/>
        <v>0</v>
      </c>
      <c r="B78" s="300">
        <f t="shared" si="6"/>
        <v>0</v>
      </c>
      <c r="C78" s="300">
        <f t="shared" si="7"/>
        <v>0</v>
      </c>
      <c r="D78" s="300">
        <f t="shared" si="8"/>
        <v>0</v>
      </c>
      <c r="E78" s="300">
        <f t="shared" si="9"/>
        <v>0</v>
      </c>
      <c r="F78" s="300">
        <f t="shared" si="10"/>
        <v>0</v>
      </c>
      <c r="G78" s="300">
        <f t="shared" si="11"/>
        <v>0</v>
      </c>
      <c r="H78" s="300">
        <f t="shared" si="12"/>
        <v>0</v>
      </c>
    </row>
    <row r="79" spans="1:8">
      <c r="A79" s="95">
        <f t="shared" si="5"/>
        <v>0</v>
      </c>
      <c r="B79" s="300">
        <f t="shared" si="6"/>
        <v>0</v>
      </c>
      <c r="C79" s="300">
        <f t="shared" ref="C79:H84" si="13">C27*$B$58</f>
        <v>0</v>
      </c>
      <c r="D79" s="300">
        <f t="shared" si="13"/>
        <v>0</v>
      </c>
      <c r="E79" s="300">
        <f t="shared" si="13"/>
        <v>0</v>
      </c>
      <c r="F79" s="300">
        <f t="shared" si="13"/>
        <v>0</v>
      </c>
      <c r="G79" s="300">
        <f t="shared" si="13"/>
        <v>0</v>
      </c>
      <c r="H79" s="300">
        <f t="shared" si="13"/>
        <v>0</v>
      </c>
    </row>
    <row r="80" spans="1:8">
      <c r="A80" s="95" t="str">
        <f t="shared" si="5"/>
        <v>Groundnut</v>
      </c>
      <c r="B80" s="300">
        <f t="shared" si="6"/>
        <v>0</v>
      </c>
      <c r="C80" s="300">
        <f t="shared" si="13"/>
        <v>0</v>
      </c>
      <c r="D80" s="300">
        <f t="shared" si="13"/>
        <v>0</v>
      </c>
      <c r="E80" s="300">
        <f t="shared" si="13"/>
        <v>0</v>
      </c>
      <c r="F80" s="300">
        <f t="shared" si="13"/>
        <v>0</v>
      </c>
      <c r="G80" s="300">
        <f t="shared" si="13"/>
        <v>0</v>
      </c>
      <c r="H80" s="300">
        <f t="shared" si="13"/>
        <v>0</v>
      </c>
    </row>
    <row r="81" spans="1:12">
      <c r="A81" s="95">
        <f t="shared" si="5"/>
        <v>0</v>
      </c>
      <c r="B81" s="300">
        <f t="shared" si="6"/>
        <v>0</v>
      </c>
      <c r="C81" s="300">
        <f t="shared" si="13"/>
        <v>0</v>
      </c>
      <c r="D81" s="300">
        <f t="shared" si="13"/>
        <v>0</v>
      </c>
      <c r="E81" s="300">
        <f t="shared" si="13"/>
        <v>0</v>
      </c>
      <c r="F81" s="300">
        <f t="shared" si="13"/>
        <v>0</v>
      </c>
      <c r="G81" s="300">
        <f t="shared" si="13"/>
        <v>0</v>
      </c>
      <c r="H81" s="300">
        <f t="shared" si="13"/>
        <v>0</v>
      </c>
    </row>
    <row r="82" spans="1:12">
      <c r="A82" s="95">
        <f t="shared" si="5"/>
        <v>0</v>
      </c>
      <c r="B82" s="300">
        <f t="shared" si="6"/>
        <v>0</v>
      </c>
      <c r="C82" s="300">
        <f t="shared" si="13"/>
        <v>0</v>
      </c>
      <c r="D82" s="300">
        <f t="shared" si="13"/>
        <v>0</v>
      </c>
      <c r="E82" s="300">
        <f t="shared" si="13"/>
        <v>0</v>
      </c>
      <c r="F82" s="300">
        <f t="shared" si="13"/>
        <v>0</v>
      </c>
      <c r="G82" s="300">
        <f t="shared" si="13"/>
        <v>0</v>
      </c>
      <c r="H82" s="300">
        <f t="shared" si="13"/>
        <v>0</v>
      </c>
    </row>
    <row r="83" spans="1:12">
      <c r="A83" s="95">
        <f t="shared" si="5"/>
        <v>0</v>
      </c>
      <c r="B83" s="300">
        <f t="shared" si="6"/>
        <v>0</v>
      </c>
      <c r="C83" s="300">
        <f t="shared" si="13"/>
        <v>0</v>
      </c>
      <c r="D83" s="300">
        <f t="shared" si="13"/>
        <v>0</v>
      </c>
      <c r="E83" s="300">
        <f t="shared" si="13"/>
        <v>0</v>
      </c>
      <c r="F83" s="300">
        <f t="shared" si="13"/>
        <v>0</v>
      </c>
      <c r="G83" s="300">
        <f t="shared" si="13"/>
        <v>0</v>
      </c>
      <c r="H83" s="300">
        <f t="shared" si="13"/>
        <v>0</v>
      </c>
    </row>
    <row r="84" spans="1:12">
      <c r="A84" s="95">
        <f t="shared" si="5"/>
        <v>0</v>
      </c>
      <c r="B84" s="300">
        <f t="shared" si="6"/>
        <v>0</v>
      </c>
      <c r="C84" s="300">
        <f t="shared" si="13"/>
        <v>0</v>
      </c>
      <c r="D84" s="300">
        <f t="shared" si="13"/>
        <v>0</v>
      </c>
      <c r="E84" s="300">
        <f t="shared" si="13"/>
        <v>0</v>
      </c>
      <c r="F84" s="300">
        <f t="shared" si="13"/>
        <v>0</v>
      </c>
      <c r="G84" s="300">
        <f t="shared" si="13"/>
        <v>0</v>
      </c>
      <c r="H84" s="300">
        <f t="shared" si="13"/>
        <v>0</v>
      </c>
    </row>
    <row r="85" spans="1:12">
      <c r="A85" s="95"/>
      <c r="B85" s="300"/>
      <c r="C85" s="300"/>
      <c r="D85" s="300"/>
      <c r="E85" s="300"/>
      <c r="F85" s="300"/>
      <c r="G85" s="300"/>
      <c r="H85" s="300"/>
      <c r="J85" s="322"/>
      <c r="K85" s="322"/>
      <c r="L85" s="322"/>
    </row>
    <row r="86" spans="1:12">
      <c r="A86" s="95" t="str">
        <f t="shared" ref="A86:A99" si="14">A34</f>
        <v>Fruit  &amp; Vegetables Crop Production Details</v>
      </c>
      <c r="B86" s="300"/>
      <c r="C86" s="300"/>
      <c r="D86" s="300"/>
      <c r="E86" s="300"/>
      <c r="F86" s="300"/>
      <c r="G86" s="300"/>
      <c r="H86" s="300"/>
      <c r="J86" s="322"/>
      <c r="K86" s="322"/>
      <c r="L86" s="322"/>
    </row>
    <row r="87" spans="1:12">
      <c r="A87" s="95" t="str">
        <f t="shared" si="14"/>
        <v>Mango</v>
      </c>
      <c r="B87" s="300">
        <f t="shared" ref="B87:H99" si="15">B35</f>
        <v>0</v>
      </c>
      <c r="C87" s="300">
        <f t="shared" si="15"/>
        <v>0</v>
      </c>
      <c r="D87" s="300">
        <f t="shared" si="15"/>
        <v>0</v>
      </c>
      <c r="E87" s="300">
        <f t="shared" si="15"/>
        <v>0</v>
      </c>
      <c r="F87" s="300">
        <f t="shared" si="15"/>
        <v>0</v>
      </c>
      <c r="G87" s="300">
        <f t="shared" si="15"/>
        <v>0</v>
      </c>
      <c r="H87" s="300">
        <f t="shared" si="15"/>
        <v>0</v>
      </c>
      <c r="J87" s="322"/>
      <c r="K87" s="322"/>
      <c r="L87" s="322"/>
    </row>
    <row r="88" spans="1:12">
      <c r="A88" s="95" t="str">
        <f t="shared" si="14"/>
        <v>Custard Apple</v>
      </c>
      <c r="B88" s="300">
        <f t="shared" si="15"/>
        <v>0</v>
      </c>
      <c r="C88" s="300">
        <f t="shared" si="15"/>
        <v>0</v>
      </c>
      <c r="D88" s="300">
        <f t="shared" si="15"/>
        <v>0</v>
      </c>
      <c r="E88" s="300">
        <f t="shared" si="15"/>
        <v>0</v>
      </c>
      <c r="F88" s="300">
        <f t="shared" si="15"/>
        <v>0</v>
      </c>
      <c r="G88" s="300">
        <f t="shared" si="15"/>
        <v>0</v>
      </c>
      <c r="H88" s="300">
        <f t="shared" si="15"/>
        <v>0</v>
      </c>
      <c r="J88" s="322"/>
      <c r="K88" s="322"/>
      <c r="L88" s="322"/>
    </row>
    <row r="89" spans="1:12">
      <c r="A89" s="95" t="str">
        <f t="shared" si="14"/>
        <v>Guava</v>
      </c>
      <c r="B89" s="300">
        <f t="shared" si="15"/>
        <v>0</v>
      </c>
      <c r="C89" s="300">
        <f t="shared" si="15"/>
        <v>0</v>
      </c>
      <c r="D89" s="300">
        <f t="shared" si="15"/>
        <v>0</v>
      </c>
      <c r="E89" s="300">
        <f t="shared" si="15"/>
        <v>0</v>
      </c>
      <c r="F89" s="300">
        <f t="shared" si="15"/>
        <v>0</v>
      </c>
      <c r="G89" s="300">
        <f t="shared" si="15"/>
        <v>0</v>
      </c>
      <c r="H89" s="300">
        <f t="shared" si="15"/>
        <v>0</v>
      </c>
      <c r="J89" s="322"/>
      <c r="K89" s="322"/>
      <c r="L89" s="322"/>
    </row>
    <row r="90" spans="1:12">
      <c r="A90" s="95">
        <f t="shared" si="14"/>
        <v>0</v>
      </c>
      <c r="B90" s="300">
        <f t="shared" si="15"/>
        <v>0</v>
      </c>
      <c r="C90" s="300">
        <f t="shared" si="15"/>
        <v>0</v>
      </c>
      <c r="D90" s="300">
        <f t="shared" si="15"/>
        <v>0</v>
      </c>
      <c r="E90" s="300">
        <f t="shared" si="15"/>
        <v>0</v>
      </c>
      <c r="F90" s="300">
        <f t="shared" si="15"/>
        <v>0</v>
      </c>
      <c r="G90" s="300">
        <f t="shared" si="15"/>
        <v>0</v>
      </c>
      <c r="H90" s="300">
        <f t="shared" si="15"/>
        <v>0</v>
      </c>
      <c r="J90" s="322"/>
      <c r="K90" s="322"/>
      <c r="L90" s="322"/>
    </row>
    <row r="91" spans="1:12">
      <c r="A91" s="95">
        <f t="shared" si="14"/>
        <v>0</v>
      </c>
      <c r="B91" s="300">
        <f t="shared" si="15"/>
        <v>0</v>
      </c>
      <c r="C91" s="300">
        <f t="shared" si="15"/>
        <v>0</v>
      </c>
      <c r="D91" s="300">
        <f t="shared" si="15"/>
        <v>0</v>
      </c>
      <c r="E91" s="300">
        <f t="shared" si="15"/>
        <v>0</v>
      </c>
      <c r="F91" s="300">
        <f t="shared" si="15"/>
        <v>0</v>
      </c>
      <c r="G91" s="300">
        <f t="shared" si="15"/>
        <v>0</v>
      </c>
      <c r="H91" s="300">
        <f t="shared" si="15"/>
        <v>0</v>
      </c>
      <c r="J91" s="322"/>
      <c r="K91" s="322"/>
      <c r="L91" s="322"/>
    </row>
    <row r="92" spans="1:12">
      <c r="A92" s="95">
        <f t="shared" si="14"/>
        <v>0</v>
      </c>
      <c r="B92" s="300">
        <f t="shared" si="15"/>
        <v>0</v>
      </c>
      <c r="C92" s="300">
        <f t="shared" si="15"/>
        <v>0</v>
      </c>
      <c r="D92" s="300">
        <f t="shared" si="15"/>
        <v>0</v>
      </c>
      <c r="E92" s="300">
        <f t="shared" si="15"/>
        <v>0</v>
      </c>
      <c r="F92" s="300">
        <f t="shared" si="15"/>
        <v>0</v>
      </c>
      <c r="G92" s="300">
        <f t="shared" si="15"/>
        <v>0</v>
      </c>
      <c r="H92" s="300">
        <f t="shared" si="15"/>
        <v>0</v>
      </c>
      <c r="J92" s="322"/>
      <c r="K92" s="322"/>
      <c r="L92" s="322"/>
    </row>
    <row r="93" spans="1:12">
      <c r="A93" s="95">
        <f t="shared" si="14"/>
        <v>0</v>
      </c>
      <c r="B93" s="300">
        <f t="shared" si="15"/>
        <v>0</v>
      </c>
      <c r="C93" s="300">
        <f t="shared" si="15"/>
        <v>0</v>
      </c>
      <c r="D93" s="300">
        <f t="shared" si="15"/>
        <v>0</v>
      </c>
      <c r="E93" s="300">
        <f t="shared" si="15"/>
        <v>0</v>
      </c>
      <c r="F93" s="300">
        <f t="shared" si="15"/>
        <v>0</v>
      </c>
      <c r="G93" s="300">
        <f t="shared" si="15"/>
        <v>0</v>
      </c>
      <c r="H93" s="300">
        <f t="shared" si="15"/>
        <v>0</v>
      </c>
      <c r="J93" s="322"/>
      <c r="K93" s="322"/>
      <c r="L93" s="322"/>
    </row>
    <row r="94" spans="1:12">
      <c r="A94" s="95">
        <f t="shared" si="14"/>
        <v>0</v>
      </c>
      <c r="B94" s="300">
        <f t="shared" si="15"/>
        <v>0</v>
      </c>
      <c r="C94" s="300">
        <f t="shared" si="15"/>
        <v>0</v>
      </c>
      <c r="D94" s="300">
        <f t="shared" si="15"/>
        <v>0</v>
      </c>
      <c r="E94" s="300">
        <f t="shared" si="15"/>
        <v>0</v>
      </c>
      <c r="F94" s="300">
        <f t="shared" si="15"/>
        <v>0</v>
      </c>
      <c r="G94" s="300">
        <f t="shared" si="15"/>
        <v>0</v>
      </c>
      <c r="H94" s="300">
        <f t="shared" si="15"/>
        <v>0</v>
      </c>
      <c r="J94" s="322"/>
      <c r="K94" s="322"/>
      <c r="L94" s="322"/>
    </row>
    <row r="95" spans="1:12">
      <c r="A95" s="95">
        <f t="shared" si="14"/>
        <v>0</v>
      </c>
      <c r="B95" s="300">
        <f t="shared" si="15"/>
        <v>0</v>
      </c>
      <c r="C95" s="300">
        <f t="shared" si="15"/>
        <v>0</v>
      </c>
      <c r="D95" s="300">
        <f t="shared" si="15"/>
        <v>0</v>
      </c>
      <c r="E95" s="300">
        <f t="shared" si="15"/>
        <v>0</v>
      </c>
      <c r="F95" s="300">
        <f t="shared" si="15"/>
        <v>0</v>
      </c>
      <c r="G95" s="300">
        <f t="shared" si="15"/>
        <v>0</v>
      </c>
      <c r="H95" s="300">
        <f t="shared" si="15"/>
        <v>0</v>
      </c>
      <c r="J95" s="322"/>
      <c r="K95" s="322"/>
      <c r="L95" s="322"/>
    </row>
    <row r="96" spans="1:12">
      <c r="A96" s="95" t="str">
        <f t="shared" si="14"/>
        <v>Mango</v>
      </c>
      <c r="B96" s="300">
        <f t="shared" si="15"/>
        <v>0</v>
      </c>
      <c r="C96" s="300">
        <f t="shared" si="15"/>
        <v>0</v>
      </c>
      <c r="D96" s="300">
        <f t="shared" si="15"/>
        <v>0</v>
      </c>
      <c r="E96" s="300">
        <f t="shared" si="15"/>
        <v>0</v>
      </c>
      <c r="F96" s="300">
        <f t="shared" si="15"/>
        <v>0</v>
      </c>
      <c r="G96" s="300">
        <f t="shared" si="15"/>
        <v>0</v>
      </c>
      <c r="H96" s="300">
        <f t="shared" si="15"/>
        <v>0</v>
      </c>
      <c r="J96" s="322"/>
      <c r="K96" s="322"/>
      <c r="L96" s="322"/>
    </row>
    <row r="97" spans="1:12">
      <c r="A97" s="95" t="str">
        <f t="shared" si="14"/>
        <v>Custard Apple</v>
      </c>
      <c r="B97" s="300">
        <f t="shared" si="15"/>
        <v>0</v>
      </c>
      <c r="C97" s="300">
        <f t="shared" si="15"/>
        <v>0</v>
      </c>
      <c r="D97" s="300">
        <f t="shared" si="15"/>
        <v>0</v>
      </c>
      <c r="E97" s="300">
        <f t="shared" si="15"/>
        <v>0</v>
      </c>
      <c r="F97" s="300">
        <f t="shared" si="15"/>
        <v>0</v>
      </c>
      <c r="G97" s="300">
        <f t="shared" si="15"/>
        <v>0</v>
      </c>
      <c r="H97" s="300">
        <f t="shared" si="15"/>
        <v>0</v>
      </c>
      <c r="J97" s="322"/>
      <c r="K97" s="322"/>
      <c r="L97" s="322"/>
    </row>
    <row r="98" spans="1:12">
      <c r="A98" s="95" t="str">
        <f t="shared" si="14"/>
        <v>Guava</v>
      </c>
      <c r="B98" s="300">
        <f t="shared" si="15"/>
        <v>0</v>
      </c>
      <c r="C98" s="300">
        <f t="shared" si="15"/>
        <v>0</v>
      </c>
      <c r="D98" s="300">
        <f t="shared" si="15"/>
        <v>0</v>
      </c>
      <c r="E98" s="300">
        <f t="shared" si="15"/>
        <v>0</v>
      </c>
      <c r="F98" s="300">
        <f t="shared" si="15"/>
        <v>0</v>
      </c>
      <c r="G98" s="300">
        <f t="shared" si="15"/>
        <v>0</v>
      </c>
      <c r="H98" s="300">
        <f t="shared" si="15"/>
        <v>0</v>
      </c>
      <c r="J98" s="322"/>
      <c r="K98" s="322"/>
      <c r="L98" s="322"/>
    </row>
    <row r="99" spans="1:12">
      <c r="A99" s="95">
        <f t="shared" si="14"/>
        <v>0</v>
      </c>
      <c r="B99" s="300">
        <f t="shared" si="15"/>
        <v>0</v>
      </c>
      <c r="C99" s="300">
        <f t="shared" si="15"/>
        <v>0</v>
      </c>
      <c r="D99" s="300">
        <f t="shared" si="15"/>
        <v>0</v>
      </c>
      <c r="E99" s="300">
        <f t="shared" si="15"/>
        <v>0</v>
      </c>
      <c r="F99" s="300">
        <f t="shared" si="15"/>
        <v>0</v>
      </c>
      <c r="G99" s="300">
        <f t="shared" si="15"/>
        <v>0</v>
      </c>
      <c r="H99" s="300">
        <f t="shared" si="15"/>
        <v>0</v>
      </c>
      <c r="J99" s="322"/>
      <c r="K99" s="322"/>
      <c r="L99" s="322"/>
    </row>
    <row r="100" spans="1:12">
      <c r="A100" s="95">
        <f t="shared" ref="A100:A105" si="16">A49</f>
        <v>0</v>
      </c>
      <c r="B100" s="300"/>
      <c r="C100" s="300"/>
      <c r="D100" s="300"/>
      <c r="E100" s="300"/>
      <c r="F100" s="300"/>
      <c r="G100" s="300"/>
      <c r="H100" s="300"/>
      <c r="J100" s="322"/>
      <c r="K100" s="322"/>
      <c r="L100" s="322"/>
    </row>
    <row r="101" spans="1:12">
      <c r="A101" s="95">
        <f t="shared" si="16"/>
        <v>0</v>
      </c>
      <c r="B101" s="300"/>
      <c r="C101" s="300"/>
      <c r="D101" s="300"/>
      <c r="E101" s="300"/>
      <c r="F101" s="300"/>
      <c r="G101" s="300"/>
      <c r="H101" s="300"/>
      <c r="J101" s="322"/>
      <c r="K101" s="322"/>
      <c r="L101" s="322"/>
    </row>
    <row r="102" spans="1:12">
      <c r="A102" s="95" t="str">
        <f t="shared" si="16"/>
        <v>Mango</v>
      </c>
      <c r="B102" s="300">
        <f t="shared" ref="B102:H105" si="17">B51</f>
        <v>0</v>
      </c>
      <c r="C102" s="300">
        <f t="shared" si="17"/>
        <v>0</v>
      </c>
      <c r="D102" s="300">
        <f t="shared" si="17"/>
        <v>0</v>
      </c>
      <c r="E102" s="300">
        <f t="shared" si="17"/>
        <v>0</v>
      </c>
      <c r="F102" s="300">
        <f t="shared" si="17"/>
        <v>0</v>
      </c>
      <c r="G102" s="300">
        <f t="shared" si="17"/>
        <v>0</v>
      </c>
      <c r="H102" s="300">
        <f t="shared" si="17"/>
        <v>0</v>
      </c>
      <c r="J102" s="322"/>
      <c r="K102" s="322"/>
      <c r="L102" s="322"/>
    </row>
    <row r="103" spans="1:12">
      <c r="A103" s="95" t="str">
        <f t="shared" si="16"/>
        <v>Custard Apple</v>
      </c>
      <c r="B103" s="300">
        <f t="shared" si="17"/>
        <v>0</v>
      </c>
      <c r="C103" s="300">
        <f t="shared" si="17"/>
        <v>0</v>
      </c>
      <c r="D103" s="300">
        <f t="shared" si="17"/>
        <v>0</v>
      </c>
      <c r="E103" s="300">
        <f t="shared" si="17"/>
        <v>0</v>
      </c>
      <c r="F103" s="300">
        <f t="shared" si="17"/>
        <v>0</v>
      </c>
      <c r="G103" s="300">
        <f t="shared" si="17"/>
        <v>0</v>
      </c>
      <c r="H103" s="300">
        <f t="shared" si="17"/>
        <v>0</v>
      </c>
      <c r="J103" s="322"/>
      <c r="K103" s="322"/>
      <c r="L103" s="322"/>
    </row>
    <row r="104" spans="1:12">
      <c r="A104" s="95" t="str">
        <f t="shared" si="16"/>
        <v>Guava</v>
      </c>
      <c r="B104" s="300">
        <f t="shared" si="17"/>
        <v>0</v>
      </c>
      <c r="C104" s="300">
        <f t="shared" si="17"/>
        <v>0</v>
      </c>
      <c r="D104" s="300">
        <f t="shared" si="17"/>
        <v>0</v>
      </c>
      <c r="E104" s="300">
        <f t="shared" si="17"/>
        <v>0</v>
      </c>
      <c r="F104" s="300">
        <f t="shared" si="17"/>
        <v>0</v>
      </c>
      <c r="G104" s="300">
        <f t="shared" si="17"/>
        <v>0</v>
      </c>
      <c r="H104" s="300">
        <f t="shared" si="17"/>
        <v>0</v>
      </c>
      <c r="J104" s="322"/>
      <c r="K104" s="322"/>
      <c r="L104" s="322"/>
    </row>
    <row r="105" spans="1:12">
      <c r="A105" s="95">
        <f t="shared" si="16"/>
        <v>0</v>
      </c>
      <c r="B105" s="300">
        <f t="shared" si="17"/>
        <v>0</v>
      </c>
      <c r="C105" s="300">
        <f t="shared" si="17"/>
        <v>0</v>
      </c>
      <c r="D105" s="300">
        <f t="shared" si="17"/>
        <v>0</v>
      </c>
      <c r="E105" s="300">
        <f t="shared" si="17"/>
        <v>0</v>
      </c>
      <c r="F105" s="300">
        <f t="shared" si="17"/>
        <v>0</v>
      </c>
      <c r="G105" s="300">
        <f t="shared" si="17"/>
        <v>0</v>
      </c>
      <c r="H105" s="300">
        <f t="shared" si="17"/>
        <v>0</v>
      </c>
      <c r="J105" s="322"/>
      <c r="K105" s="322"/>
      <c r="L105" s="322"/>
    </row>
    <row r="106" spans="1:12">
      <c r="A106" s="95"/>
      <c r="B106" s="300"/>
      <c r="C106" s="300"/>
      <c r="D106" s="300"/>
      <c r="E106" s="300"/>
      <c r="F106" s="300"/>
      <c r="G106" s="300"/>
      <c r="H106" s="300"/>
      <c r="J106" s="322"/>
      <c r="K106" s="322"/>
      <c r="L106" s="322"/>
    </row>
    <row r="107" spans="1:12">
      <c r="A107" s="95"/>
      <c r="B107" s="300"/>
      <c r="C107" s="300"/>
      <c r="D107" s="300"/>
      <c r="E107" s="300"/>
      <c r="F107" s="300"/>
      <c r="G107" s="300"/>
      <c r="H107" s="300"/>
      <c r="J107" s="322"/>
      <c r="K107" s="322"/>
      <c r="L107" s="322"/>
    </row>
    <row r="108" spans="1:12">
      <c r="A108" s="101" t="s">
        <v>104</v>
      </c>
      <c r="B108" s="95"/>
      <c r="C108" s="95"/>
      <c r="D108" s="95"/>
      <c r="E108" s="95"/>
      <c r="F108" s="95"/>
      <c r="G108" s="95"/>
      <c r="H108" s="95"/>
    </row>
    <row r="109" spans="1:12">
      <c r="A109" s="99" t="str">
        <f t="shared" ref="A109:A130" si="18">A63</f>
        <v>Soybean</v>
      </c>
      <c r="B109" s="301">
        <f t="shared" ref="B109:H118" si="19">B63-(B63*$G$6)</f>
        <v>0</v>
      </c>
      <c r="C109" s="301">
        <f t="shared" si="19"/>
        <v>0</v>
      </c>
      <c r="D109" s="301">
        <f t="shared" si="19"/>
        <v>0</v>
      </c>
      <c r="E109" s="301">
        <f t="shared" si="19"/>
        <v>0</v>
      </c>
      <c r="F109" s="301">
        <f t="shared" si="19"/>
        <v>0</v>
      </c>
      <c r="G109" s="301">
        <f t="shared" si="19"/>
        <v>0</v>
      </c>
      <c r="H109" s="301">
        <f t="shared" si="19"/>
        <v>0</v>
      </c>
    </row>
    <row r="110" spans="1:12">
      <c r="A110" s="99" t="str">
        <f t="shared" si="18"/>
        <v>Red Gram/Tur</v>
      </c>
      <c r="B110" s="301">
        <f t="shared" si="19"/>
        <v>0</v>
      </c>
      <c r="C110" s="301">
        <f t="shared" si="19"/>
        <v>0</v>
      </c>
      <c r="D110" s="301">
        <f t="shared" si="19"/>
        <v>0</v>
      </c>
      <c r="E110" s="301">
        <f t="shared" si="19"/>
        <v>0</v>
      </c>
      <c r="F110" s="301">
        <f t="shared" si="19"/>
        <v>0</v>
      </c>
      <c r="G110" s="301">
        <f t="shared" si="19"/>
        <v>0</v>
      </c>
      <c r="H110" s="301">
        <f t="shared" si="19"/>
        <v>0</v>
      </c>
    </row>
    <row r="111" spans="1:12">
      <c r="A111" s="99" t="str">
        <f t="shared" si="18"/>
        <v>Paddy/Rice</v>
      </c>
      <c r="B111" s="301">
        <f t="shared" si="19"/>
        <v>0</v>
      </c>
      <c r="C111" s="301">
        <f t="shared" si="19"/>
        <v>0</v>
      </c>
      <c r="D111" s="301">
        <f t="shared" si="19"/>
        <v>0</v>
      </c>
      <c r="E111" s="301">
        <f t="shared" si="19"/>
        <v>0</v>
      </c>
      <c r="F111" s="301">
        <f t="shared" si="19"/>
        <v>0</v>
      </c>
      <c r="G111" s="301">
        <f t="shared" si="19"/>
        <v>0</v>
      </c>
      <c r="H111" s="301">
        <f t="shared" si="19"/>
        <v>0</v>
      </c>
    </row>
    <row r="112" spans="1:12">
      <c r="A112" s="99" t="str">
        <f t="shared" si="18"/>
        <v>Green Gram/ Moong</v>
      </c>
      <c r="B112" s="301">
        <f t="shared" si="19"/>
        <v>0</v>
      </c>
      <c r="C112" s="301">
        <f t="shared" si="19"/>
        <v>0</v>
      </c>
      <c r="D112" s="301">
        <f t="shared" si="19"/>
        <v>0</v>
      </c>
      <c r="E112" s="301">
        <f t="shared" si="19"/>
        <v>0</v>
      </c>
      <c r="F112" s="301">
        <f t="shared" si="19"/>
        <v>0</v>
      </c>
      <c r="G112" s="301">
        <f t="shared" si="19"/>
        <v>0</v>
      </c>
      <c r="H112" s="301">
        <f t="shared" si="19"/>
        <v>0</v>
      </c>
    </row>
    <row r="113" spans="1:8">
      <c r="A113" s="99" t="str">
        <f t="shared" si="18"/>
        <v>Maize</v>
      </c>
      <c r="B113" s="301">
        <f t="shared" si="19"/>
        <v>0</v>
      </c>
      <c r="C113" s="301">
        <f t="shared" si="19"/>
        <v>0</v>
      </c>
      <c r="D113" s="301">
        <f t="shared" si="19"/>
        <v>0</v>
      </c>
      <c r="E113" s="301">
        <f t="shared" si="19"/>
        <v>0</v>
      </c>
      <c r="F113" s="301">
        <f t="shared" si="19"/>
        <v>0</v>
      </c>
      <c r="G113" s="301">
        <f t="shared" si="19"/>
        <v>0</v>
      </c>
      <c r="H113" s="301">
        <f t="shared" si="19"/>
        <v>0</v>
      </c>
    </row>
    <row r="114" spans="1:8">
      <c r="A114" s="99" t="str">
        <f t="shared" si="18"/>
        <v>Black Gram/Udid</v>
      </c>
      <c r="B114" s="301">
        <f t="shared" si="19"/>
        <v>0</v>
      </c>
      <c r="C114" s="301">
        <f t="shared" si="19"/>
        <v>0</v>
      </c>
      <c r="D114" s="301">
        <f t="shared" si="19"/>
        <v>0</v>
      </c>
      <c r="E114" s="301">
        <f t="shared" si="19"/>
        <v>0</v>
      </c>
      <c r="F114" s="301">
        <f t="shared" si="19"/>
        <v>0</v>
      </c>
      <c r="G114" s="301">
        <f t="shared" si="19"/>
        <v>0</v>
      </c>
      <c r="H114" s="301">
        <f t="shared" si="19"/>
        <v>0</v>
      </c>
    </row>
    <row r="115" spans="1:8">
      <c r="A115" s="99" t="str">
        <f t="shared" si="18"/>
        <v>Bajra</v>
      </c>
      <c r="B115" s="301">
        <f t="shared" si="19"/>
        <v>0</v>
      </c>
      <c r="C115" s="301">
        <f t="shared" si="19"/>
        <v>0</v>
      </c>
      <c r="D115" s="301">
        <f t="shared" si="19"/>
        <v>0</v>
      </c>
      <c r="E115" s="301">
        <f t="shared" si="19"/>
        <v>0</v>
      </c>
      <c r="F115" s="301">
        <f t="shared" si="19"/>
        <v>0</v>
      </c>
      <c r="G115" s="301">
        <f t="shared" si="19"/>
        <v>0</v>
      </c>
      <c r="H115" s="301">
        <f t="shared" si="19"/>
        <v>0</v>
      </c>
    </row>
    <row r="116" spans="1:8">
      <c r="A116" s="99" t="str">
        <f t="shared" si="18"/>
        <v>Jawar</v>
      </c>
      <c r="B116" s="301">
        <f t="shared" si="19"/>
        <v>0</v>
      </c>
      <c r="C116" s="301">
        <f t="shared" si="19"/>
        <v>0</v>
      </c>
      <c r="D116" s="301">
        <f t="shared" si="19"/>
        <v>0</v>
      </c>
      <c r="E116" s="301">
        <f t="shared" si="19"/>
        <v>0</v>
      </c>
      <c r="F116" s="301">
        <f t="shared" si="19"/>
        <v>0</v>
      </c>
      <c r="G116" s="301">
        <f t="shared" si="19"/>
        <v>0</v>
      </c>
      <c r="H116" s="301">
        <f t="shared" si="19"/>
        <v>0</v>
      </c>
    </row>
    <row r="117" spans="1:8">
      <c r="A117" s="99" t="str">
        <f t="shared" si="18"/>
        <v>Sunflower</v>
      </c>
      <c r="B117" s="301">
        <f t="shared" si="19"/>
        <v>0</v>
      </c>
      <c r="C117" s="301">
        <f t="shared" si="19"/>
        <v>0</v>
      </c>
      <c r="D117" s="301">
        <f t="shared" si="19"/>
        <v>0</v>
      </c>
      <c r="E117" s="301">
        <f t="shared" si="19"/>
        <v>0</v>
      </c>
      <c r="F117" s="301">
        <f t="shared" si="19"/>
        <v>0</v>
      </c>
      <c r="G117" s="301">
        <f t="shared" si="19"/>
        <v>0</v>
      </c>
      <c r="H117" s="301">
        <f t="shared" si="19"/>
        <v>0</v>
      </c>
    </row>
    <row r="118" spans="1:8">
      <c r="A118" s="99" t="str">
        <f t="shared" si="18"/>
        <v>Wheat</v>
      </c>
      <c r="B118" s="301">
        <f t="shared" si="19"/>
        <v>0</v>
      </c>
      <c r="C118" s="301">
        <f t="shared" si="19"/>
        <v>0</v>
      </c>
      <c r="D118" s="301">
        <f t="shared" si="19"/>
        <v>0</v>
      </c>
      <c r="E118" s="301">
        <f t="shared" si="19"/>
        <v>0</v>
      </c>
      <c r="F118" s="301">
        <f t="shared" si="19"/>
        <v>0</v>
      </c>
      <c r="G118" s="301">
        <f t="shared" si="19"/>
        <v>0</v>
      </c>
      <c r="H118" s="301">
        <f t="shared" si="19"/>
        <v>0</v>
      </c>
    </row>
    <row r="119" spans="1:8">
      <c r="A119" s="99" t="str">
        <f t="shared" si="18"/>
        <v>Bengal Gram/Channa</v>
      </c>
      <c r="B119" s="301">
        <f t="shared" ref="B119:H128" si="20">B73-(B73*$G$6)</f>
        <v>0</v>
      </c>
      <c r="C119" s="301">
        <f t="shared" si="20"/>
        <v>0</v>
      </c>
      <c r="D119" s="301">
        <f t="shared" si="20"/>
        <v>0</v>
      </c>
      <c r="E119" s="301">
        <f t="shared" si="20"/>
        <v>0</v>
      </c>
      <c r="F119" s="301">
        <f t="shared" si="20"/>
        <v>0</v>
      </c>
      <c r="G119" s="301">
        <f t="shared" si="20"/>
        <v>0</v>
      </c>
      <c r="H119" s="301">
        <f t="shared" si="20"/>
        <v>0</v>
      </c>
    </row>
    <row r="120" spans="1:8">
      <c r="A120" s="99" t="str">
        <f t="shared" si="18"/>
        <v>Jawar</v>
      </c>
      <c r="B120" s="301">
        <f t="shared" si="20"/>
        <v>0</v>
      </c>
      <c r="C120" s="301">
        <f t="shared" si="20"/>
        <v>0</v>
      </c>
      <c r="D120" s="301">
        <f t="shared" si="20"/>
        <v>0</v>
      </c>
      <c r="E120" s="301">
        <f t="shared" si="20"/>
        <v>0</v>
      </c>
      <c r="F120" s="301">
        <f t="shared" si="20"/>
        <v>0</v>
      </c>
      <c r="G120" s="301">
        <f t="shared" si="20"/>
        <v>0</v>
      </c>
      <c r="H120" s="301">
        <f t="shared" si="20"/>
        <v>0</v>
      </c>
    </row>
    <row r="121" spans="1:8">
      <c r="A121" s="99" t="str">
        <f t="shared" si="18"/>
        <v>Maize</v>
      </c>
      <c r="B121" s="301">
        <f t="shared" si="20"/>
        <v>0</v>
      </c>
      <c r="C121" s="301">
        <f t="shared" si="20"/>
        <v>0</v>
      </c>
      <c r="D121" s="301">
        <f t="shared" si="20"/>
        <v>0</v>
      </c>
      <c r="E121" s="301">
        <f t="shared" si="20"/>
        <v>0</v>
      </c>
      <c r="F121" s="301">
        <f t="shared" si="20"/>
        <v>0</v>
      </c>
      <c r="G121" s="301">
        <f t="shared" si="20"/>
        <v>0</v>
      </c>
      <c r="H121" s="301">
        <f t="shared" si="20"/>
        <v>0</v>
      </c>
    </row>
    <row r="122" spans="1:8">
      <c r="A122" s="99" t="str">
        <f t="shared" si="18"/>
        <v>Safflower</v>
      </c>
      <c r="B122" s="301">
        <f t="shared" si="20"/>
        <v>0</v>
      </c>
      <c r="C122" s="301">
        <f t="shared" si="20"/>
        <v>0</v>
      </c>
      <c r="D122" s="301">
        <f t="shared" si="20"/>
        <v>0</v>
      </c>
      <c r="E122" s="301">
        <f t="shared" si="20"/>
        <v>0</v>
      </c>
      <c r="F122" s="301">
        <f t="shared" si="20"/>
        <v>0</v>
      </c>
      <c r="G122" s="301">
        <f t="shared" si="20"/>
        <v>0</v>
      </c>
      <c r="H122" s="301">
        <f t="shared" si="20"/>
        <v>0</v>
      </c>
    </row>
    <row r="123" spans="1:8">
      <c r="A123" s="99">
        <f t="shared" si="18"/>
        <v>0</v>
      </c>
      <c r="B123" s="301">
        <f t="shared" si="20"/>
        <v>0</v>
      </c>
      <c r="C123" s="301">
        <f t="shared" si="20"/>
        <v>0</v>
      </c>
      <c r="D123" s="301">
        <f t="shared" si="20"/>
        <v>0</v>
      </c>
      <c r="E123" s="301">
        <f t="shared" si="20"/>
        <v>0</v>
      </c>
      <c r="F123" s="301">
        <f t="shared" si="20"/>
        <v>0</v>
      </c>
      <c r="G123" s="301">
        <f t="shared" si="20"/>
        <v>0</v>
      </c>
      <c r="H123" s="301">
        <f t="shared" si="20"/>
        <v>0</v>
      </c>
    </row>
    <row r="124" spans="1:8">
      <c r="A124" s="99">
        <f t="shared" si="18"/>
        <v>0</v>
      </c>
      <c r="B124" s="301">
        <f t="shared" si="20"/>
        <v>0</v>
      </c>
      <c r="C124" s="301">
        <f t="shared" si="20"/>
        <v>0</v>
      </c>
      <c r="D124" s="301">
        <f t="shared" si="20"/>
        <v>0</v>
      </c>
      <c r="E124" s="301">
        <f t="shared" si="20"/>
        <v>0</v>
      </c>
      <c r="F124" s="301">
        <f t="shared" si="20"/>
        <v>0</v>
      </c>
      <c r="G124" s="301">
        <f t="shared" si="20"/>
        <v>0</v>
      </c>
      <c r="H124" s="301">
        <f t="shared" si="20"/>
        <v>0</v>
      </c>
    </row>
    <row r="125" spans="1:8">
      <c r="A125" s="99">
        <f t="shared" si="18"/>
        <v>0</v>
      </c>
      <c r="B125" s="301">
        <f t="shared" si="20"/>
        <v>0</v>
      </c>
      <c r="C125" s="301">
        <f t="shared" si="20"/>
        <v>0</v>
      </c>
      <c r="D125" s="301">
        <f t="shared" si="20"/>
        <v>0</v>
      </c>
      <c r="E125" s="301">
        <f t="shared" si="20"/>
        <v>0</v>
      </c>
      <c r="F125" s="301">
        <f t="shared" si="20"/>
        <v>0</v>
      </c>
      <c r="G125" s="301">
        <f t="shared" si="20"/>
        <v>0</v>
      </c>
      <c r="H125" s="301">
        <f t="shared" si="20"/>
        <v>0</v>
      </c>
    </row>
    <row r="126" spans="1:8">
      <c r="A126" s="99" t="str">
        <f t="shared" si="18"/>
        <v>Groundnut</v>
      </c>
      <c r="B126" s="301">
        <f t="shared" si="20"/>
        <v>0</v>
      </c>
      <c r="C126" s="301">
        <f t="shared" si="20"/>
        <v>0</v>
      </c>
      <c r="D126" s="301">
        <f t="shared" si="20"/>
        <v>0</v>
      </c>
      <c r="E126" s="301">
        <f t="shared" si="20"/>
        <v>0</v>
      </c>
      <c r="F126" s="301">
        <f t="shared" si="20"/>
        <v>0</v>
      </c>
      <c r="G126" s="301">
        <f t="shared" si="20"/>
        <v>0</v>
      </c>
      <c r="H126" s="301">
        <f t="shared" si="20"/>
        <v>0</v>
      </c>
    </row>
    <row r="127" spans="1:8">
      <c r="A127" s="99">
        <f t="shared" si="18"/>
        <v>0</v>
      </c>
      <c r="B127" s="301">
        <f t="shared" si="20"/>
        <v>0</v>
      </c>
      <c r="C127" s="301">
        <f t="shared" si="20"/>
        <v>0</v>
      </c>
      <c r="D127" s="301">
        <f t="shared" si="20"/>
        <v>0</v>
      </c>
      <c r="E127" s="301">
        <f t="shared" si="20"/>
        <v>0</v>
      </c>
      <c r="F127" s="301">
        <f t="shared" si="20"/>
        <v>0</v>
      </c>
      <c r="G127" s="301">
        <f t="shared" si="20"/>
        <v>0</v>
      </c>
      <c r="H127" s="301">
        <f t="shared" si="20"/>
        <v>0</v>
      </c>
    </row>
    <row r="128" spans="1:8">
      <c r="A128" s="99">
        <f t="shared" si="18"/>
        <v>0</v>
      </c>
      <c r="B128" s="301">
        <f t="shared" si="20"/>
        <v>0</v>
      </c>
      <c r="C128" s="301">
        <f t="shared" si="20"/>
        <v>0</v>
      </c>
      <c r="D128" s="301">
        <f t="shared" si="20"/>
        <v>0</v>
      </c>
      <c r="E128" s="301">
        <f t="shared" si="20"/>
        <v>0</v>
      </c>
      <c r="F128" s="301">
        <f t="shared" si="20"/>
        <v>0</v>
      </c>
      <c r="G128" s="301">
        <f t="shared" si="20"/>
        <v>0</v>
      </c>
      <c r="H128" s="301">
        <f t="shared" si="20"/>
        <v>0</v>
      </c>
    </row>
    <row r="129" spans="1:8">
      <c r="A129" s="99">
        <f t="shared" si="18"/>
        <v>0</v>
      </c>
      <c r="B129" s="301">
        <f t="shared" ref="B129:H130" si="21">B83-(B83*$G$6)</f>
        <v>0</v>
      </c>
      <c r="C129" s="301">
        <f t="shared" si="21"/>
        <v>0</v>
      </c>
      <c r="D129" s="301">
        <f t="shared" si="21"/>
        <v>0</v>
      </c>
      <c r="E129" s="301">
        <f t="shared" si="21"/>
        <v>0</v>
      </c>
      <c r="F129" s="301">
        <f t="shared" si="21"/>
        <v>0</v>
      </c>
      <c r="G129" s="301">
        <f t="shared" si="21"/>
        <v>0</v>
      </c>
      <c r="H129" s="301">
        <f t="shared" si="21"/>
        <v>0</v>
      </c>
    </row>
    <row r="130" spans="1:8">
      <c r="A130" s="99">
        <f t="shared" si="18"/>
        <v>0</v>
      </c>
      <c r="B130" s="301">
        <f t="shared" si="21"/>
        <v>0</v>
      </c>
      <c r="C130" s="301">
        <f t="shared" si="21"/>
        <v>0</v>
      </c>
      <c r="D130" s="301">
        <f t="shared" si="21"/>
        <v>0</v>
      </c>
      <c r="E130" s="301">
        <f t="shared" si="21"/>
        <v>0</v>
      </c>
      <c r="F130" s="301">
        <f t="shared" si="21"/>
        <v>0</v>
      </c>
      <c r="G130" s="301">
        <f t="shared" si="21"/>
        <v>0</v>
      </c>
      <c r="H130" s="301">
        <f t="shared" si="21"/>
        <v>0</v>
      </c>
    </row>
    <row r="131" spans="1:8">
      <c r="A131" s="99"/>
      <c r="B131" s="301"/>
      <c r="C131" s="301"/>
      <c r="D131" s="301"/>
      <c r="E131" s="301"/>
      <c r="F131" s="301"/>
      <c r="G131" s="301"/>
      <c r="H131" s="301"/>
    </row>
    <row r="132" spans="1:8">
      <c r="A132" s="101" t="str">
        <f t="shared" ref="A132:A145" si="22">A86</f>
        <v>Fruit  &amp; Vegetables Crop Production Details</v>
      </c>
      <c r="B132" s="301"/>
      <c r="C132" s="301"/>
      <c r="D132" s="301"/>
      <c r="E132" s="301"/>
      <c r="F132" s="301"/>
      <c r="G132" s="301"/>
      <c r="H132" s="301"/>
    </row>
    <row r="133" spans="1:8">
      <c r="A133" s="99" t="str">
        <f t="shared" si="22"/>
        <v>Mango</v>
      </c>
      <c r="B133" s="301">
        <f t="shared" ref="B133:H145" si="23">B87-(B87*$G$7)</f>
        <v>0</v>
      </c>
      <c r="C133" s="301">
        <f t="shared" si="23"/>
        <v>0</v>
      </c>
      <c r="D133" s="301">
        <f t="shared" si="23"/>
        <v>0</v>
      </c>
      <c r="E133" s="301">
        <f t="shared" si="23"/>
        <v>0</v>
      </c>
      <c r="F133" s="301">
        <f t="shared" si="23"/>
        <v>0</v>
      </c>
      <c r="G133" s="301">
        <f t="shared" si="23"/>
        <v>0</v>
      </c>
      <c r="H133" s="301">
        <f t="shared" si="23"/>
        <v>0</v>
      </c>
    </row>
    <row r="134" spans="1:8">
      <c r="A134" s="99" t="str">
        <f t="shared" si="22"/>
        <v>Custard Apple</v>
      </c>
      <c r="B134" s="301">
        <f t="shared" si="23"/>
        <v>0</v>
      </c>
      <c r="C134" s="301">
        <f t="shared" si="23"/>
        <v>0</v>
      </c>
      <c r="D134" s="301">
        <f t="shared" si="23"/>
        <v>0</v>
      </c>
      <c r="E134" s="301">
        <f t="shared" si="23"/>
        <v>0</v>
      </c>
      <c r="F134" s="301">
        <f t="shared" si="23"/>
        <v>0</v>
      </c>
      <c r="G134" s="301">
        <f t="shared" si="23"/>
        <v>0</v>
      </c>
      <c r="H134" s="301">
        <f t="shared" si="23"/>
        <v>0</v>
      </c>
    </row>
    <row r="135" spans="1:8">
      <c r="A135" s="99" t="str">
        <f t="shared" si="22"/>
        <v>Guava</v>
      </c>
      <c r="B135" s="301">
        <f t="shared" si="23"/>
        <v>0</v>
      </c>
      <c r="C135" s="301">
        <f t="shared" si="23"/>
        <v>0</v>
      </c>
      <c r="D135" s="301">
        <f t="shared" si="23"/>
        <v>0</v>
      </c>
      <c r="E135" s="301">
        <f t="shared" si="23"/>
        <v>0</v>
      </c>
      <c r="F135" s="301">
        <f t="shared" si="23"/>
        <v>0</v>
      </c>
      <c r="G135" s="301">
        <f t="shared" si="23"/>
        <v>0</v>
      </c>
      <c r="H135" s="301">
        <f t="shared" si="23"/>
        <v>0</v>
      </c>
    </row>
    <row r="136" spans="1:8">
      <c r="A136" s="99">
        <f t="shared" si="22"/>
        <v>0</v>
      </c>
      <c r="B136" s="301">
        <f t="shared" si="23"/>
        <v>0</v>
      </c>
      <c r="C136" s="301">
        <f t="shared" si="23"/>
        <v>0</v>
      </c>
      <c r="D136" s="301">
        <f t="shared" si="23"/>
        <v>0</v>
      </c>
      <c r="E136" s="301">
        <f t="shared" si="23"/>
        <v>0</v>
      </c>
      <c r="F136" s="301">
        <f t="shared" si="23"/>
        <v>0</v>
      </c>
      <c r="G136" s="301">
        <f t="shared" si="23"/>
        <v>0</v>
      </c>
      <c r="H136" s="301">
        <f t="shared" si="23"/>
        <v>0</v>
      </c>
    </row>
    <row r="137" spans="1:8">
      <c r="A137" s="99">
        <f t="shared" si="22"/>
        <v>0</v>
      </c>
      <c r="B137" s="301">
        <f t="shared" si="23"/>
        <v>0</v>
      </c>
      <c r="C137" s="301">
        <f t="shared" si="23"/>
        <v>0</v>
      </c>
      <c r="D137" s="301">
        <f t="shared" si="23"/>
        <v>0</v>
      </c>
      <c r="E137" s="301">
        <f t="shared" si="23"/>
        <v>0</v>
      </c>
      <c r="F137" s="301">
        <f t="shared" si="23"/>
        <v>0</v>
      </c>
      <c r="G137" s="301">
        <f t="shared" si="23"/>
        <v>0</v>
      </c>
      <c r="H137" s="301">
        <f t="shared" si="23"/>
        <v>0</v>
      </c>
    </row>
    <row r="138" spans="1:8">
      <c r="A138" s="99">
        <f t="shared" si="22"/>
        <v>0</v>
      </c>
      <c r="B138" s="301">
        <f t="shared" si="23"/>
        <v>0</v>
      </c>
      <c r="C138" s="301">
        <f t="shared" si="23"/>
        <v>0</v>
      </c>
      <c r="D138" s="301">
        <f t="shared" si="23"/>
        <v>0</v>
      </c>
      <c r="E138" s="301">
        <f t="shared" si="23"/>
        <v>0</v>
      </c>
      <c r="F138" s="301">
        <f t="shared" si="23"/>
        <v>0</v>
      </c>
      <c r="G138" s="301">
        <f t="shared" si="23"/>
        <v>0</v>
      </c>
      <c r="H138" s="301">
        <f t="shared" si="23"/>
        <v>0</v>
      </c>
    </row>
    <row r="139" spans="1:8">
      <c r="A139" s="99">
        <f t="shared" si="22"/>
        <v>0</v>
      </c>
      <c r="B139" s="301">
        <f t="shared" si="23"/>
        <v>0</v>
      </c>
      <c r="C139" s="301">
        <f t="shared" si="23"/>
        <v>0</v>
      </c>
      <c r="D139" s="301">
        <f t="shared" si="23"/>
        <v>0</v>
      </c>
      <c r="E139" s="301">
        <f t="shared" si="23"/>
        <v>0</v>
      </c>
      <c r="F139" s="301">
        <f t="shared" si="23"/>
        <v>0</v>
      </c>
      <c r="G139" s="301">
        <f t="shared" si="23"/>
        <v>0</v>
      </c>
      <c r="H139" s="301">
        <f t="shared" si="23"/>
        <v>0</v>
      </c>
    </row>
    <row r="140" spans="1:8">
      <c r="A140" s="99">
        <f t="shared" si="22"/>
        <v>0</v>
      </c>
      <c r="B140" s="301">
        <f t="shared" si="23"/>
        <v>0</v>
      </c>
      <c r="C140" s="301">
        <f t="shared" si="23"/>
        <v>0</v>
      </c>
      <c r="D140" s="301">
        <f t="shared" si="23"/>
        <v>0</v>
      </c>
      <c r="E140" s="301">
        <f t="shared" si="23"/>
        <v>0</v>
      </c>
      <c r="F140" s="301">
        <f t="shared" si="23"/>
        <v>0</v>
      </c>
      <c r="G140" s="301">
        <f t="shared" si="23"/>
        <v>0</v>
      </c>
      <c r="H140" s="301">
        <f t="shared" si="23"/>
        <v>0</v>
      </c>
    </row>
    <row r="141" spans="1:8">
      <c r="A141" s="99">
        <f t="shared" si="22"/>
        <v>0</v>
      </c>
      <c r="B141" s="301">
        <f t="shared" si="23"/>
        <v>0</v>
      </c>
      <c r="C141" s="301">
        <f t="shared" si="23"/>
        <v>0</v>
      </c>
      <c r="D141" s="301">
        <f t="shared" si="23"/>
        <v>0</v>
      </c>
      <c r="E141" s="301">
        <f t="shared" si="23"/>
        <v>0</v>
      </c>
      <c r="F141" s="301">
        <f t="shared" si="23"/>
        <v>0</v>
      </c>
      <c r="G141" s="301">
        <f t="shared" si="23"/>
        <v>0</v>
      </c>
      <c r="H141" s="301">
        <f t="shared" si="23"/>
        <v>0</v>
      </c>
    </row>
    <row r="142" spans="1:8">
      <c r="A142" s="99" t="str">
        <f t="shared" si="22"/>
        <v>Mango</v>
      </c>
      <c r="B142" s="301">
        <f t="shared" si="23"/>
        <v>0</v>
      </c>
      <c r="C142" s="301">
        <f t="shared" si="23"/>
        <v>0</v>
      </c>
      <c r="D142" s="301">
        <f t="shared" si="23"/>
        <v>0</v>
      </c>
      <c r="E142" s="301">
        <f t="shared" si="23"/>
        <v>0</v>
      </c>
      <c r="F142" s="301">
        <f t="shared" si="23"/>
        <v>0</v>
      </c>
      <c r="G142" s="301">
        <f t="shared" si="23"/>
        <v>0</v>
      </c>
      <c r="H142" s="301">
        <f t="shared" si="23"/>
        <v>0</v>
      </c>
    </row>
    <row r="143" spans="1:8">
      <c r="A143" s="99" t="str">
        <f t="shared" si="22"/>
        <v>Custard Apple</v>
      </c>
      <c r="B143" s="301">
        <f t="shared" si="23"/>
        <v>0</v>
      </c>
      <c r="C143" s="301">
        <f t="shared" si="23"/>
        <v>0</v>
      </c>
      <c r="D143" s="301">
        <f t="shared" si="23"/>
        <v>0</v>
      </c>
      <c r="E143" s="301">
        <f t="shared" si="23"/>
        <v>0</v>
      </c>
      <c r="F143" s="301">
        <f t="shared" si="23"/>
        <v>0</v>
      </c>
      <c r="G143" s="301">
        <f t="shared" si="23"/>
        <v>0</v>
      </c>
      <c r="H143" s="301">
        <f t="shared" si="23"/>
        <v>0</v>
      </c>
    </row>
    <row r="144" spans="1:8">
      <c r="A144" s="99" t="str">
        <f t="shared" si="22"/>
        <v>Guava</v>
      </c>
      <c r="B144" s="301">
        <f t="shared" si="23"/>
        <v>0</v>
      </c>
      <c r="C144" s="301">
        <f t="shared" si="23"/>
        <v>0</v>
      </c>
      <c r="D144" s="301">
        <f t="shared" si="23"/>
        <v>0</v>
      </c>
      <c r="E144" s="301">
        <f t="shared" si="23"/>
        <v>0</v>
      </c>
      <c r="F144" s="301">
        <f t="shared" si="23"/>
        <v>0</v>
      </c>
      <c r="G144" s="301">
        <f t="shared" si="23"/>
        <v>0</v>
      </c>
      <c r="H144" s="301">
        <f t="shared" si="23"/>
        <v>0</v>
      </c>
    </row>
    <row r="145" spans="1:20">
      <c r="A145" s="99">
        <f t="shared" si="22"/>
        <v>0</v>
      </c>
      <c r="B145" s="301">
        <f t="shared" si="23"/>
        <v>0</v>
      </c>
      <c r="C145" s="301">
        <f t="shared" si="23"/>
        <v>0</v>
      </c>
      <c r="D145" s="301">
        <f t="shared" si="23"/>
        <v>0</v>
      </c>
      <c r="E145" s="301">
        <f t="shared" si="23"/>
        <v>0</v>
      </c>
      <c r="F145" s="301">
        <f t="shared" si="23"/>
        <v>0</v>
      </c>
      <c r="G145" s="301">
        <f t="shared" si="23"/>
        <v>0</v>
      </c>
      <c r="H145" s="301">
        <f t="shared" si="23"/>
        <v>0</v>
      </c>
    </row>
    <row r="146" spans="1:20">
      <c r="A146" s="99">
        <f>A101</f>
        <v>0</v>
      </c>
      <c r="B146" s="301">
        <f t="shared" ref="B146:H150" si="24">B101-(B101*$G$7)</f>
        <v>0</v>
      </c>
      <c r="C146" s="301">
        <f t="shared" si="24"/>
        <v>0</v>
      </c>
      <c r="D146" s="301">
        <f t="shared" si="24"/>
        <v>0</v>
      </c>
      <c r="E146" s="301">
        <f t="shared" si="24"/>
        <v>0</v>
      </c>
      <c r="F146" s="301">
        <f t="shared" si="24"/>
        <v>0</v>
      </c>
      <c r="G146" s="301">
        <f t="shared" si="24"/>
        <v>0</v>
      </c>
      <c r="H146" s="301">
        <f t="shared" si="24"/>
        <v>0</v>
      </c>
    </row>
    <row r="147" spans="1:20">
      <c r="A147" s="99" t="str">
        <f>A102</f>
        <v>Mango</v>
      </c>
      <c r="B147" s="301">
        <f t="shared" si="24"/>
        <v>0</v>
      </c>
      <c r="C147" s="301">
        <f t="shared" si="24"/>
        <v>0</v>
      </c>
      <c r="D147" s="301">
        <f t="shared" si="24"/>
        <v>0</v>
      </c>
      <c r="E147" s="301">
        <f t="shared" si="24"/>
        <v>0</v>
      </c>
      <c r="F147" s="301">
        <f t="shared" si="24"/>
        <v>0</v>
      </c>
      <c r="G147" s="301">
        <f t="shared" si="24"/>
        <v>0</v>
      </c>
      <c r="H147" s="301">
        <f t="shared" si="24"/>
        <v>0</v>
      </c>
    </row>
    <row r="148" spans="1:20">
      <c r="A148" s="99" t="str">
        <f>A103</f>
        <v>Custard Apple</v>
      </c>
      <c r="B148" s="301">
        <f t="shared" si="24"/>
        <v>0</v>
      </c>
      <c r="C148" s="301">
        <f t="shared" si="24"/>
        <v>0</v>
      </c>
      <c r="D148" s="301">
        <f t="shared" si="24"/>
        <v>0</v>
      </c>
      <c r="E148" s="301">
        <f t="shared" si="24"/>
        <v>0</v>
      </c>
      <c r="F148" s="301">
        <f t="shared" si="24"/>
        <v>0</v>
      </c>
      <c r="G148" s="301">
        <f t="shared" si="24"/>
        <v>0</v>
      </c>
      <c r="H148" s="301">
        <f t="shared" si="24"/>
        <v>0</v>
      </c>
    </row>
    <row r="149" spans="1:20">
      <c r="A149" s="99" t="str">
        <f>A104</f>
        <v>Guava</v>
      </c>
      <c r="B149" s="301">
        <f t="shared" si="24"/>
        <v>0</v>
      </c>
      <c r="C149" s="301">
        <f t="shared" si="24"/>
        <v>0</v>
      </c>
      <c r="D149" s="301">
        <f t="shared" si="24"/>
        <v>0</v>
      </c>
      <c r="E149" s="301">
        <f t="shared" si="24"/>
        <v>0</v>
      </c>
      <c r="F149" s="301">
        <f t="shared" si="24"/>
        <v>0</v>
      </c>
      <c r="G149" s="301">
        <f t="shared" si="24"/>
        <v>0</v>
      </c>
      <c r="H149" s="301">
        <f t="shared" si="24"/>
        <v>0</v>
      </c>
    </row>
    <row r="150" spans="1:20">
      <c r="A150" s="99">
        <f>A105</f>
        <v>0</v>
      </c>
      <c r="B150" s="301">
        <f t="shared" si="24"/>
        <v>0</v>
      </c>
      <c r="C150" s="301">
        <f t="shared" si="24"/>
        <v>0</v>
      </c>
      <c r="D150" s="301">
        <f t="shared" si="24"/>
        <v>0</v>
      </c>
      <c r="E150" s="301">
        <f t="shared" si="24"/>
        <v>0</v>
      </c>
      <c r="F150" s="301">
        <f t="shared" si="24"/>
        <v>0</v>
      </c>
      <c r="G150" s="301">
        <f t="shared" si="24"/>
        <v>0</v>
      </c>
      <c r="H150" s="301">
        <f t="shared" si="24"/>
        <v>0</v>
      </c>
    </row>
    <row r="151" spans="1:20">
      <c r="A151" s="187"/>
    </row>
    <row r="152" spans="1:20" ht="18.75">
      <c r="A152" s="425" t="s">
        <v>540</v>
      </c>
      <c r="B152" s="425"/>
      <c r="C152" s="425"/>
      <c r="D152" s="425"/>
      <c r="E152" s="425"/>
      <c r="F152" s="425"/>
      <c r="G152" s="425"/>
      <c r="H152" s="425"/>
      <c r="I152" s="425"/>
      <c r="J152" s="425"/>
    </row>
    <row r="153" spans="1:20">
      <c r="A153" s="16"/>
      <c r="B153" s="16"/>
      <c r="C153" s="16"/>
      <c r="D153" s="16"/>
      <c r="E153" s="16"/>
      <c r="F153" s="16"/>
      <c r="G153" s="16"/>
      <c r="H153" s="16"/>
    </row>
    <row r="154" spans="1:20">
      <c r="A154" s="197"/>
      <c r="B154" s="197"/>
      <c r="C154" s="197"/>
      <c r="D154" s="198">
        <v>1</v>
      </c>
      <c r="E154" s="199">
        <f>(D154*5%)+D154</f>
        <v>1.05</v>
      </c>
      <c r="F154" s="199">
        <f t="shared" ref="F154:J154" si="25">(E154*5%)+E154</f>
        <v>1.1025</v>
      </c>
      <c r="G154" s="199">
        <f t="shared" si="25"/>
        <v>1.1576250000000001</v>
      </c>
      <c r="H154" s="199">
        <f t="shared" si="25"/>
        <v>1.2155062500000002</v>
      </c>
      <c r="I154" s="199">
        <f t="shared" si="25"/>
        <v>1.2762815625000004</v>
      </c>
      <c r="J154" s="199">
        <f t="shared" si="25"/>
        <v>1.3400956406250004</v>
      </c>
      <c r="K154" s="94"/>
      <c r="L154" s="94"/>
      <c r="M154" s="94"/>
      <c r="N154" s="94"/>
      <c r="O154" s="94"/>
      <c r="P154" s="94"/>
      <c r="Q154" s="94"/>
      <c r="R154" s="94"/>
      <c r="S154" s="94"/>
      <c r="T154" s="94"/>
    </row>
    <row r="155" spans="1:20">
      <c r="A155" s="94"/>
      <c r="B155" s="94"/>
      <c r="C155" s="94"/>
      <c r="D155" s="94"/>
      <c r="E155" s="94"/>
      <c r="F155" s="94"/>
      <c r="G155" s="94"/>
      <c r="H155" s="94"/>
      <c r="I155" s="94"/>
      <c r="J155" s="94"/>
      <c r="K155" s="94"/>
      <c r="L155" s="94"/>
      <c r="M155" s="94"/>
      <c r="N155" s="94"/>
      <c r="O155" s="94"/>
      <c r="P155" s="94"/>
      <c r="Q155" s="94"/>
      <c r="R155" s="94"/>
      <c r="S155" s="94"/>
      <c r="T155" s="94"/>
    </row>
    <row r="156" spans="1:20">
      <c r="A156" s="94"/>
      <c r="B156" s="94"/>
      <c r="C156" s="94"/>
      <c r="D156" s="179"/>
      <c r="E156" s="179"/>
      <c r="F156" s="179"/>
      <c r="G156" s="179"/>
      <c r="H156" s="179"/>
      <c r="I156" s="179"/>
      <c r="J156" s="179"/>
      <c r="K156" s="94"/>
      <c r="L156" s="94"/>
    </row>
    <row r="157" spans="1:20">
      <c r="A157" s="82" t="s">
        <v>0</v>
      </c>
      <c r="B157" s="82"/>
      <c r="C157" s="82" t="s">
        <v>118</v>
      </c>
      <c r="D157" s="83" t="s">
        <v>2</v>
      </c>
      <c r="E157" s="83" t="s">
        <v>3</v>
      </c>
      <c r="F157" s="83" t="s">
        <v>4</v>
      </c>
      <c r="G157" s="83" t="s">
        <v>5</v>
      </c>
      <c r="H157" s="83" t="s">
        <v>6</v>
      </c>
      <c r="I157" s="83" t="s">
        <v>134</v>
      </c>
      <c r="J157" s="83" t="s">
        <v>133</v>
      </c>
      <c r="K157" s="94"/>
      <c r="L157" s="94"/>
    </row>
    <row r="158" spans="1:20">
      <c r="A158" s="97"/>
      <c r="B158" s="97"/>
      <c r="C158" s="97"/>
      <c r="D158" s="95"/>
      <c r="E158" s="95"/>
      <c r="F158" s="95"/>
      <c r="G158" s="95"/>
      <c r="H158" s="95"/>
      <c r="I158" s="95"/>
      <c r="J158" s="95"/>
      <c r="K158" s="94"/>
      <c r="L158" s="94"/>
    </row>
    <row r="159" spans="1:20">
      <c r="A159" s="97" t="s">
        <v>91</v>
      </c>
      <c r="B159" s="97"/>
      <c r="C159" s="97"/>
      <c r="D159" s="95"/>
      <c r="E159" s="95"/>
      <c r="F159" s="95"/>
      <c r="G159" s="95"/>
      <c r="H159" s="95"/>
      <c r="I159" s="95"/>
      <c r="J159" s="95"/>
      <c r="K159" s="94"/>
      <c r="L159" s="94"/>
    </row>
    <row r="160" spans="1:20">
      <c r="A160" s="95" t="str">
        <f t="shared" ref="A160:A180" si="26">A109</f>
        <v>Soybean</v>
      </c>
      <c r="B160" s="95" t="s">
        <v>320</v>
      </c>
      <c r="C160" s="260">
        <v>4000</v>
      </c>
      <c r="D160" s="200">
        <f>(B109*(1-'5.Closing Stock &amp; W Capital'!$D$16))*C$160*D154</f>
        <v>0</v>
      </c>
      <c r="E160" s="200">
        <f>((C109*(1-'5.Closing Stock &amp; W Capital'!$D$16))+(B109*'5.Closing Stock &amp; W Capital'!$D$16))*$C160*E$154</f>
        <v>0</v>
      </c>
      <c r="F160" s="200">
        <f>((D109*(1-'5.Closing Stock &amp; W Capital'!$D$16))+(C109*'5.Closing Stock &amp; W Capital'!$D$16))*$C160*F$154</f>
        <v>0</v>
      </c>
      <c r="G160" s="200">
        <f>((E109*(1-'5.Closing Stock &amp; W Capital'!$D$16))+(D109*'5.Closing Stock &amp; W Capital'!$D$16))*$C160*G$154</f>
        <v>0</v>
      </c>
      <c r="H160" s="200">
        <f>((F109*(1-'5.Closing Stock &amp; W Capital'!$D$16))+(E109*'5.Closing Stock &amp; W Capital'!$D$16))*$C160*H$154</f>
        <v>0</v>
      </c>
      <c r="I160" s="200">
        <f>((G109*(1-'5.Closing Stock &amp; W Capital'!$D$16))+(F109*'5.Closing Stock &amp; W Capital'!$D$16))*$C160*I$154</f>
        <v>0</v>
      </c>
      <c r="J160" s="200">
        <f>((H109*(1-'5.Closing Stock &amp; W Capital'!$D$16))+(G109*'5.Closing Stock &amp; W Capital'!$D$16))*$C160*J$154</f>
        <v>0</v>
      </c>
      <c r="K160" s="94"/>
      <c r="L160" s="94"/>
    </row>
    <row r="161" spans="1:13">
      <c r="A161" s="95" t="str">
        <f t="shared" si="26"/>
        <v>Red Gram/Tur</v>
      </c>
      <c r="B161" s="95" t="s">
        <v>320</v>
      </c>
      <c r="C161" s="260">
        <v>6000</v>
      </c>
      <c r="D161" s="200">
        <f>(B110*(1-'5.Closing Stock &amp; W Capital'!$D$16))*$C161*D$154</f>
        <v>0</v>
      </c>
      <c r="E161" s="200">
        <f>((C110*(1-'5.Closing Stock &amp; W Capital'!$D$16))+(B110*'5.Closing Stock &amp; W Capital'!$D$16))*$C161*E$154</f>
        <v>0</v>
      </c>
      <c r="F161" s="200">
        <f>((D110*(1-'5.Closing Stock &amp; W Capital'!$D$16))+(C110*'5.Closing Stock &amp; W Capital'!$D$16))*$C161*F$154</f>
        <v>0</v>
      </c>
      <c r="G161" s="200">
        <f>((E110*(1-'5.Closing Stock &amp; W Capital'!$D$16))+(D110*'5.Closing Stock &amp; W Capital'!$D$16))*$C161*G$154</f>
        <v>0</v>
      </c>
      <c r="H161" s="200">
        <f>((F110*(1-'5.Closing Stock &amp; W Capital'!$D$16))+(E110*'5.Closing Stock &amp; W Capital'!$D$16))*$C161*H$154</f>
        <v>0</v>
      </c>
      <c r="I161" s="200">
        <f>((G110*(1-'5.Closing Stock &amp; W Capital'!$D$16))+(F110*'5.Closing Stock &amp; W Capital'!$D$16))*$C161*I$154</f>
        <v>0</v>
      </c>
      <c r="J161" s="200">
        <f>((H110*(1-'5.Closing Stock &amp; W Capital'!$D$16))+(G110*'5.Closing Stock &amp; W Capital'!$D$16))*$C161*J$154</f>
        <v>0</v>
      </c>
      <c r="K161" s="94"/>
      <c r="L161" s="94"/>
    </row>
    <row r="162" spans="1:13">
      <c r="A162" s="95" t="str">
        <f t="shared" si="26"/>
        <v>Paddy/Rice</v>
      </c>
      <c r="B162" s="95" t="s">
        <v>320</v>
      </c>
      <c r="C162" s="260"/>
      <c r="D162" s="200">
        <f>(B111*(1-'5.Closing Stock &amp; W Capital'!$D$16))*$C162*D$154</f>
        <v>0</v>
      </c>
      <c r="E162" s="200">
        <f>((C111*(1-'5.Closing Stock &amp; W Capital'!$D$16))+(B111*'5.Closing Stock &amp; W Capital'!$D$16))*$C162*E$154</f>
        <v>0</v>
      </c>
      <c r="F162" s="200">
        <f>((D111*(1-'5.Closing Stock &amp; W Capital'!$D$16))+(C111*'5.Closing Stock &amp; W Capital'!$D$16))*$C162*F$154</f>
        <v>0</v>
      </c>
      <c r="G162" s="200">
        <f>((E111*(1-'5.Closing Stock &amp; W Capital'!$D$16))+(D111*'5.Closing Stock &amp; W Capital'!$D$16))*$C162*G$154</f>
        <v>0</v>
      </c>
      <c r="H162" s="200">
        <f>((F111*(1-'5.Closing Stock &amp; W Capital'!$D$16))+(E111*'5.Closing Stock &amp; W Capital'!$D$16))*$C162*H$154</f>
        <v>0</v>
      </c>
      <c r="I162" s="200">
        <f>((G111*(1-'5.Closing Stock &amp; W Capital'!$D$16))+(F111*'5.Closing Stock &amp; W Capital'!$D$16))*$C162*I$154</f>
        <v>0</v>
      </c>
      <c r="J162" s="200">
        <f>((H111*(1-'5.Closing Stock &amp; W Capital'!$D$16))+(G111*'5.Closing Stock &amp; W Capital'!$D$16))*$C162*J$154</f>
        <v>0</v>
      </c>
      <c r="K162" s="94"/>
      <c r="L162" s="94"/>
    </row>
    <row r="163" spans="1:13">
      <c r="A163" s="95" t="str">
        <f t="shared" si="26"/>
        <v>Green Gram/ Moong</v>
      </c>
      <c r="B163" s="95" t="s">
        <v>320</v>
      </c>
      <c r="C163" s="260">
        <v>6000</v>
      </c>
      <c r="D163" s="200">
        <f>(B112*(1-'5.Closing Stock &amp; W Capital'!$D$16))*$C163*D$154</f>
        <v>0</v>
      </c>
      <c r="E163" s="200">
        <f>((C112*(1-'5.Closing Stock &amp; W Capital'!$D$16))+(B112*'5.Closing Stock &amp; W Capital'!$D$16))*$C163*E$154</f>
        <v>0</v>
      </c>
      <c r="F163" s="200">
        <f>((D112*(1-'5.Closing Stock &amp; W Capital'!$D$16))+(C112*'5.Closing Stock &amp; W Capital'!$D$16))*$C163*F$154</f>
        <v>0</v>
      </c>
      <c r="G163" s="200">
        <f>((E112*(1-'5.Closing Stock &amp; W Capital'!$D$16))+(D112*'5.Closing Stock &amp; W Capital'!$D$16))*$C163*G$154</f>
        <v>0</v>
      </c>
      <c r="H163" s="200">
        <f>((F112*(1-'5.Closing Stock &amp; W Capital'!$D$16))+(E112*'5.Closing Stock &amp; W Capital'!$D$16))*$C163*H$154</f>
        <v>0</v>
      </c>
      <c r="I163" s="200">
        <f>((G112*(1-'5.Closing Stock &amp; W Capital'!$D$16))+(F112*'5.Closing Stock &amp; W Capital'!$D$16))*$C163*I$154</f>
        <v>0</v>
      </c>
      <c r="J163" s="200">
        <f>((H112*(1-'5.Closing Stock &amp; W Capital'!$D$16))+(G112*'5.Closing Stock &amp; W Capital'!$D$16))*$C163*J$154</f>
        <v>0</v>
      </c>
      <c r="K163" s="94"/>
      <c r="L163" s="94"/>
    </row>
    <row r="164" spans="1:13">
      <c r="A164" s="95" t="str">
        <f t="shared" si="26"/>
        <v>Maize</v>
      </c>
      <c r="B164" s="95" t="s">
        <v>320</v>
      </c>
      <c r="C164" s="260"/>
      <c r="D164" s="200">
        <f>(B113*(1-'5.Closing Stock &amp; W Capital'!$D$16))*$C164*D$154</f>
        <v>0</v>
      </c>
      <c r="E164" s="200">
        <f>((C113*(1-'5.Closing Stock &amp; W Capital'!$D$16))+(B113*'5.Closing Stock &amp; W Capital'!$D$16))*$C164*E$154</f>
        <v>0</v>
      </c>
      <c r="F164" s="200">
        <f>((D113*(1-'5.Closing Stock &amp; W Capital'!$D$16))+(C113*'5.Closing Stock &amp; W Capital'!$D$16))*$C164*F$154</f>
        <v>0</v>
      </c>
      <c r="G164" s="200">
        <f>((E113*(1-'5.Closing Stock &amp; W Capital'!$D$16))+(D113*'5.Closing Stock &amp; W Capital'!$D$16))*$C164*G$154</f>
        <v>0</v>
      </c>
      <c r="H164" s="200">
        <f>((F113*(1-'5.Closing Stock &amp; W Capital'!$D$16))+(E113*'5.Closing Stock &amp; W Capital'!$D$16))*$C164*H$154</f>
        <v>0</v>
      </c>
      <c r="I164" s="200">
        <f>((G113*(1-'5.Closing Stock &amp; W Capital'!$D$16))+(F113*'5.Closing Stock &amp; W Capital'!$D$16))*$C164*I$154</f>
        <v>0</v>
      </c>
      <c r="J164" s="200">
        <f>((H113*(1-'5.Closing Stock &amp; W Capital'!$D$16))+(G113*'5.Closing Stock &amp; W Capital'!$D$16))*$C164*J$154</f>
        <v>0</v>
      </c>
      <c r="K164" s="94"/>
      <c r="L164" s="94"/>
    </row>
    <row r="165" spans="1:13">
      <c r="A165" s="95" t="str">
        <f t="shared" si="26"/>
        <v>Black Gram/Udid</v>
      </c>
      <c r="B165" s="95" t="s">
        <v>320</v>
      </c>
      <c r="C165" s="260">
        <v>6500</v>
      </c>
      <c r="D165" s="200">
        <f>(B114*(1-'5.Closing Stock &amp; W Capital'!$D$16))*$C165*D$154</f>
        <v>0</v>
      </c>
      <c r="E165" s="200">
        <f>((C114*(1-'5.Closing Stock &amp; W Capital'!$D$16))+(B114*'5.Closing Stock &amp; W Capital'!$D$16))*$C165*E$154</f>
        <v>0</v>
      </c>
      <c r="F165" s="200">
        <f>((D114*(1-'5.Closing Stock &amp; W Capital'!$D$16))+(C114*'5.Closing Stock &amp; W Capital'!$D$16))*$C165*F$154</f>
        <v>0</v>
      </c>
      <c r="G165" s="200">
        <f>((E114*(1-'5.Closing Stock &amp; W Capital'!$D$16))+(D114*'5.Closing Stock &amp; W Capital'!$D$16))*$C165*G$154</f>
        <v>0</v>
      </c>
      <c r="H165" s="200">
        <f>((F114*(1-'5.Closing Stock &amp; W Capital'!$D$16))+(E114*'5.Closing Stock &amp; W Capital'!$D$16))*$C165*H$154</f>
        <v>0</v>
      </c>
      <c r="I165" s="200">
        <f>((G114*(1-'5.Closing Stock &amp; W Capital'!$D$16))+(F114*'5.Closing Stock &amp; W Capital'!$D$16))*$C165*I$154</f>
        <v>0</v>
      </c>
      <c r="J165" s="200">
        <f>((H114*(1-'5.Closing Stock &amp; W Capital'!$D$16))+(G114*'5.Closing Stock &amp; W Capital'!$D$16))*$C165*J$154</f>
        <v>0</v>
      </c>
      <c r="K165" s="94"/>
      <c r="L165" s="94"/>
    </row>
    <row r="166" spans="1:13">
      <c r="A166" s="95" t="str">
        <f t="shared" si="26"/>
        <v>Bajra</v>
      </c>
      <c r="B166" s="95" t="s">
        <v>320</v>
      </c>
      <c r="C166" s="260">
        <v>2000</v>
      </c>
      <c r="D166" s="200">
        <f>(B115*(1-'5.Closing Stock &amp; W Capital'!$D$16))*$C166*D$154</f>
        <v>0</v>
      </c>
      <c r="E166" s="200">
        <f>((C115*(1-'5.Closing Stock &amp; W Capital'!$D$16))+(B115*'5.Closing Stock &amp; W Capital'!$D$16))*$C166*E$154</f>
        <v>0</v>
      </c>
      <c r="F166" s="200">
        <f>((D115*(1-'5.Closing Stock &amp; W Capital'!$D$16))+(C115*'5.Closing Stock &amp; W Capital'!$D$16))*$C166*F$154</f>
        <v>0</v>
      </c>
      <c r="G166" s="200">
        <f>((E115*(1-'5.Closing Stock &amp; W Capital'!$D$16))+(D115*'5.Closing Stock &amp; W Capital'!$D$16))*$C166*G$154</f>
        <v>0</v>
      </c>
      <c r="H166" s="200">
        <f>((F115*(1-'5.Closing Stock &amp; W Capital'!$D$16))+(E115*'5.Closing Stock &amp; W Capital'!$D$16))*$C166*H$154</f>
        <v>0</v>
      </c>
      <c r="I166" s="200">
        <f>((G115*(1-'5.Closing Stock &amp; W Capital'!$D$16))+(F115*'5.Closing Stock &amp; W Capital'!$D$16))*$C166*I$154</f>
        <v>0</v>
      </c>
      <c r="J166" s="200">
        <f>((H115*(1-'5.Closing Stock &amp; W Capital'!$D$16))+(G115*'5.Closing Stock &amp; W Capital'!$D$16))*$C166*J$154</f>
        <v>0</v>
      </c>
      <c r="K166" s="94"/>
      <c r="L166" s="94"/>
    </row>
    <row r="167" spans="1:13">
      <c r="A167" s="95" t="str">
        <f t="shared" si="26"/>
        <v>Jawar</v>
      </c>
      <c r="B167" s="95" t="s">
        <v>320</v>
      </c>
      <c r="C167" s="260"/>
      <c r="D167" s="200">
        <f>(B116*(1-'5.Closing Stock &amp; W Capital'!$D$16))*$C167*D$154</f>
        <v>0</v>
      </c>
      <c r="E167" s="200">
        <f>((C116*(1-'5.Closing Stock &amp; W Capital'!$D$16))+(B116*'5.Closing Stock &amp; W Capital'!$D$16))*$C167*E$154</f>
        <v>0</v>
      </c>
      <c r="F167" s="200">
        <f>((D116*(1-'5.Closing Stock &amp; W Capital'!$D$16))+(C116*'5.Closing Stock &amp; W Capital'!$D$16))*$C167*F$154</f>
        <v>0</v>
      </c>
      <c r="G167" s="200">
        <f>((E116*(1-'5.Closing Stock &amp; W Capital'!$D$16))+(D116*'5.Closing Stock &amp; W Capital'!$D$16))*$C167*G$154</f>
        <v>0</v>
      </c>
      <c r="H167" s="200">
        <f>((F116*(1-'5.Closing Stock &amp; W Capital'!$D$16))+(E116*'5.Closing Stock &amp; W Capital'!$D$16))*$C167*H$154</f>
        <v>0</v>
      </c>
      <c r="I167" s="200">
        <f>((G116*(1-'5.Closing Stock &amp; W Capital'!$D$16))+(F116*'5.Closing Stock &amp; W Capital'!$D$16))*$C167*I$154</f>
        <v>0</v>
      </c>
      <c r="J167" s="200">
        <f>((H116*(1-'5.Closing Stock &amp; W Capital'!$D$16))+(G116*'5.Closing Stock &amp; W Capital'!$D$16))*$C167*J$154</f>
        <v>0</v>
      </c>
      <c r="K167" s="94"/>
      <c r="L167" s="94"/>
    </row>
    <row r="168" spans="1:13">
      <c r="A168" s="95" t="str">
        <f t="shared" si="26"/>
        <v>Sunflower</v>
      </c>
      <c r="B168" s="95" t="s">
        <v>320</v>
      </c>
      <c r="C168" s="260"/>
      <c r="D168" s="200">
        <f>(B117*(1-'5.Closing Stock &amp; W Capital'!$D$16))*$C168*D$154</f>
        <v>0</v>
      </c>
      <c r="E168" s="200">
        <f>((C117*(1-'5.Closing Stock &amp; W Capital'!$D$16))+(B117*'5.Closing Stock &amp; W Capital'!$D$16))*$C168*E$154</f>
        <v>0</v>
      </c>
      <c r="F168" s="200">
        <f>((D117*(1-'5.Closing Stock &amp; W Capital'!$D$16))+(C117*'5.Closing Stock &amp; W Capital'!$D$16))*$C168*F$154</f>
        <v>0</v>
      </c>
      <c r="G168" s="200">
        <f>((E117*(1-'5.Closing Stock &amp; W Capital'!$D$16))+(D117*'5.Closing Stock &amp; W Capital'!$D$16))*$C168*G$154</f>
        <v>0</v>
      </c>
      <c r="H168" s="200">
        <f>((F117*(1-'5.Closing Stock &amp; W Capital'!$D$16))+(E117*'5.Closing Stock &amp; W Capital'!$D$16))*$C168*H$154</f>
        <v>0</v>
      </c>
      <c r="I168" s="200">
        <f>((G117*(1-'5.Closing Stock &amp; W Capital'!$D$16))+(F117*'5.Closing Stock &amp; W Capital'!$D$16))*$C168*I$154</f>
        <v>0</v>
      </c>
      <c r="J168" s="200">
        <f>((H117*(1-'5.Closing Stock &amp; W Capital'!$D$16))+(G117*'5.Closing Stock &amp; W Capital'!$D$16))*$C168*J$154</f>
        <v>0</v>
      </c>
      <c r="K168" s="94"/>
      <c r="L168" s="94"/>
    </row>
    <row r="169" spans="1:13">
      <c r="A169" s="95" t="str">
        <f t="shared" si="26"/>
        <v>Wheat</v>
      </c>
      <c r="B169" s="95" t="s">
        <v>320</v>
      </c>
      <c r="C169" s="260"/>
      <c r="D169" s="200">
        <f>(B118*(1-'5.Closing Stock &amp; W Capital'!$D$16))*$C169*D$154</f>
        <v>0</v>
      </c>
      <c r="E169" s="200">
        <f>((C118*(1-'5.Closing Stock &amp; W Capital'!$D$16))+(B118*'5.Closing Stock &amp; W Capital'!$D$16))*$C169*E$154</f>
        <v>0</v>
      </c>
      <c r="F169" s="200">
        <f>((D118*(1-'5.Closing Stock &amp; W Capital'!$D$16))+(C118*'5.Closing Stock &amp; W Capital'!$D$16))*$C169*F$154</f>
        <v>0</v>
      </c>
      <c r="G169" s="200">
        <f>((E118*(1-'5.Closing Stock &amp; W Capital'!$D$16))+(D118*'5.Closing Stock &amp; W Capital'!$D$16))*$C169*G$154</f>
        <v>0</v>
      </c>
      <c r="H169" s="200">
        <f>((F118*(1-'5.Closing Stock &amp; W Capital'!$D$16))+(E118*'5.Closing Stock &amp; W Capital'!$D$16))*$C169*H$154</f>
        <v>0</v>
      </c>
      <c r="I169" s="200">
        <f>((G118*(1-'5.Closing Stock &amp; W Capital'!$D$16))+(F118*'5.Closing Stock &amp; W Capital'!$D$16))*$C169*I$154</f>
        <v>0</v>
      </c>
      <c r="J169" s="200">
        <f>((H118*(1-'5.Closing Stock &amp; W Capital'!$D$16))+(G118*'5.Closing Stock &amp; W Capital'!$D$16))*$C169*J$154</f>
        <v>0</v>
      </c>
      <c r="K169" s="94"/>
      <c r="L169" s="94"/>
    </row>
    <row r="170" spans="1:13">
      <c r="A170" s="95" t="str">
        <f t="shared" si="26"/>
        <v>Bengal Gram/Channa</v>
      </c>
      <c r="B170" s="95" t="s">
        <v>320</v>
      </c>
      <c r="C170" s="260">
        <v>5000</v>
      </c>
      <c r="D170" s="200">
        <f>(B119*(1-'5.Closing Stock &amp; W Capital'!$D$16))*$C170*D$154</f>
        <v>0</v>
      </c>
      <c r="E170" s="200">
        <f>((C119*(1-'5.Closing Stock &amp; W Capital'!$D$16))+(B119*'5.Closing Stock &amp; W Capital'!$D$16))*$C170*E$154</f>
        <v>0</v>
      </c>
      <c r="F170" s="200">
        <f>((D119*(1-'5.Closing Stock &amp; W Capital'!$D$16))+(C119*'5.Closing Stock &amp; W Capital'!$D$16))*$C170*F$154</f>
        <v>0</v>
      </c>
      <c r="G170" s="200">
        <f>((E119*(1-'5.Closing Stock &amp; W Capital'!$D$16))+(D119*'5.Closing Stock &amp; W Capital'!$D$16))*$C170*G$154</f>
        <v>0</v>
      </c>
      <c r="H170" s="200">
        <f>((F119*(1-'5.Closing Stock &amp; W Capital'!$D$16))+(E119*'5.Closing Stock &amp; W Capital'!$D$16))*$C170*H$154</f>
        <v>0</v>
      </c>
      <c r="I170" s="200">
        <f>((G119*(1-'5.Closing Stock &amp; W Capital'!$D$16))+(F119*'5.Closing Stock &amp; W Capital'!$D$16))*$C170*I$154</f>
        <v>0</v>
      </c>
      <c r="J170" s="200">
        <f>((H119*(1-'5.Closing Stock &amp; W Capital'!$D$16))+(G119*'5.Closing Stock &amp; W Capital'!$D$16))*$C170*J$154</f>
        <v>0</v>
      </c>
      <c r="K170" s="94"/>
      <c r="L170" s="94"/>
    </row>
    <row r="171" spans="1:13">
      <c r="A171" s="95" t="str">
        <f t="shared" si="26"/>
        <v>Jawar</v>
      </c>
      <c r="B171" s="95" t="s">
        <v>320</v>
      </c>
      <c r="C171" s="260"/>
      <c r="D171" s="200">
        <f>(B120*(1-'5.Closing Stock &amp; W Capital'!$D$16))*$C171*D$154</f>
        <v>0</v>
      </c>
      <c r="E171" s="200">
        <f>((C120*(1-'5.Closing Stock &amp; W Capital'!$D$16))+(B120*'5.Closing Stock &amp; W Capital'!$D$16))*$C171*E$154</f>
        <v>0</v>
      </c>
      <c r="F171" s="200">
        <f>((D120*(1-'5.Closing Stock &amp; W Capital'!$D$16))+(C120*'5.Closing Stock &amp; W Capital'!$D$16))*$C171*F$154</f>
        <v>0</v>
      </c>
      <c r="G171" s="200">
        <f>((E120*(1-'5.Closing Stock &amp; W Capital'!$D$16))+(D120*'5.Closing Stock &amp; W Capital'!$D$16))*$C171*G$154</f>
        <v>0</v>
      </c>
      <c r="H171" s="200">
        <f>((F120*(1-'5.Closing Stock &amp; W Capital'!$D$16))+(E120*'5.Closing Stock &amp; W Capital'!$D$16))*$C171*H$154</f>
        <v>0</v>
      </c>
      <c r="I171" s="200">
        <f>((G120*(1-'5.Closing Stock &amp; W Capital'!$D$16))+(F120*'5.Closing Stock &amp; W Capital'!$D$16))*$C171*I$154</f>
        <v>0</v>
      </c>
      <c r="J171" s="200">
        <f>((H120*(1-'5.Closing Stock &amp; W Capital'!$D$16))+(G120*'5.Closing Stock &amp; W Capital'!$D$16))*$C171*J$154</f>
        <v>0</v>
      </c>
      <c r="K171" s="94"/>
      <c r="L171" s="94"/>
      <c r="M171" s="29">
        <f>+B133</f>
        <v>0</v>
      </c>
    </row>
    <row r="172" spans="1:13">
      <c r="A172" s="95" t="str">
        <f t="shared" si="26"/>
        <v>Maize</v>
      </c>
      <c r="B172" s="95" t="s">
        <v>320</v>
      </c>
      <c r="C172" s="260"/>
      <c r="D172" s="200">
        <f>(B121*(1-'5.Closing Stock &amp; W Capital'!$D$16))*$C172*D$154</f>
        <v>0</v>
      </c>
      <c r="E172" s="200">
        <f>((C121*(1-'5.Closing Stock &amp; W Capital'!$D$16))+(B121*'5.Closing Stock &amp; W Capital'!$D$16))*$C172*E$154</f>
        <v>0</v>
      </c>
      <c r="F172" s="200">
        <f>((D121*(1-'5.Closing Stock &amp; W Capital'!$D$16))+(C121*'5.Closing Stock &amp; W Capital'!$D$16))*$C172*F$154</f>
        <v>0</v>
      </c>
      <c r="G172" s="200">
        <f>((E121*(1-'5.Closing Stock &amp; W Capital'!$D$16))+(D121*'5.Closing Stock &amp; W Capital'!$D$16))*$C172*G$154</f>
        <v>0</v>
      </c>
      <c r="H172" s="200">
        <f>((F121*(1-'5.Closing Stock &amp; W Capital'!$D$16))+(E121*'5.Closing Stock &amp; W Capital'!$D$16))*$C172*H$154</f>
        <v>0</v>
      </c>
      <c r="I172" s="200">
        <f>((G121*(1-'5.Closing Stock &amp; W Capital'!$D$16))+(F121*'5.Closing Stock &amp; W Capital'!$D$16))*$C172*I$154</f>
        <v>0</v>
      </c>
      <c r="J172" s="200">
        <f>((H121*(1-'5.Closing Stock &amp; W Capital'!$D$16))+(G121*'5.Closing Stock &amp; W Capital'!$D$16))*$C172*J$154</f>
        <v>0</v>
      </c>
      <c r="K172" s="94"/>
      <c r="L172" s="94"/>
      <c r="M172">
        <f>+M171*5%</f>
        <v>0</v>
      </c>
    </row>
    <row r="173" spans="1:13">
      <c r="A173" s="95" t="str">
        <f t="shared" si="26"/>
        <v>Safflower</v>
      </c>
      <c r="B173" s="95" t="s">
        <v>320</v>
      </c>
      <c r="C173" s="260"/>
      <c r="D173" s="200">
        <f>(B122*(1-'5.Closing Stock &amp; W Capital'!$D$16))*$C173*D$154</f>
        <v>0</v>
      </c>
      <c r="E173" s="200">
        <f>((C122*(1-'5.Closing Stock &amp; W Capital'!$D$16))+(B122*'5.Closing Stock &amp; W Capital'!$D$16))*$C173*E$154</f>
        <v>0</v>
      </c>
      <c r="F173" s="200">
        <f>((D122*(1-'5.Closing Stock &amp; W Capital'!$D$16))+(C122*'5.Closing Stock &amp; W Capital'!$D$16))*$C173*F$154</f>
        <v>0</v>
      </c>
      <c r="G173" s="200">
        <f>((E122*(1-'5.Closing Stock &amp; W Capital'!$D$16))+(D122*'5.Closing Stock &amp; W Capital'!$D$16))*$C173*G$154</f>
        <v>0</v>
      </c>
      <c r="H173" s="200">
        <f>((F122*(1-'5.Closing Stock &amp; W Capital'!$D$16))+(E122*'5.Closing Stock &amp; W Capital'!$D$16))*$C173*H$154</f>
        <v>0</v>
      </c>
      <c r="I173" s="200">
        <f>((G122*(1-'5.Closing Stock &amp; W Capital'!$D$16))+(F122*'5.Closing Stock &amp; W Capital'!$D$16))*$C173*I$154</f>
        <v>0</v>
      </c>
      <c r="J173" s="200">
        <f>((H122*(1-'5.Closing Stock &amp; W Capital'!$D$16))+(G122*'5.Closing Stock &amp; W Capital'!$D$16))*$C173*J$154</f>
        <v>0</v>
      </c>
      <c r="K173" s="94"/>
      <c r="L173" s="94"/>
      <c r="M173" s="29">
        <f>+M171-M172</f>
        <v>0</v>
      </c>
    </row>
    <row r="174" spans="1:13">
      <c r="A174" s="95">
        <f t="shared" si="26"/>
        <v>0</v>
      </c>
      <c r="B174" s="95" t="s">
        <v>320</v>
      </c>
      <c r="C174" s="260"/>
      <c r="D174" s="200">
        <f>(B123*(1-'5.Closing Stock &amp; W Capital'!$D$16))*$C174*D$154</f>
        <v>0</v>
      </c>
      <c r="E174" s="200">
        <f>((C123*(1-'5.Closing Stock &amp; W Capital'!$D$16))+(B123*'5.Closing Stock &amp; W Capital'!$D$16))*$C174*E$154</f>
        <v>0</v>
      </c>
      <c r="F174" s="200">
        <f>((D123*(1-'5.Closing Stock &amp; W Capital'!$D$16))+(C123*'5.Closing Stock &amp; W Capital'!$D$16))*$C174*F$154</f>
        <v>0</v>
      </c>
      <c r="G174" s="200">
        <f>((E123*(1-'5.Closing Stock &amp; W Capital'!$D$16))+(D123*'5.Closing Stock &amp; W Capital'!$D$16))*$C174*G$154</f>
        <v>0</v>
      </c>
      <c r="H174" s="200">
        <f>((F123*(1-'5.Closing Stock &amp; W Capital'!$D$16))+(E123*'5.Closing Stock &amp; W Capital'!$D$16))*$C174*H$154</f>
        <v>0</v>
      </c>
      <c r="I174" s="200">
        <f>((G123*(1-'5.Closing Stock &amp; W Capital'!$D$16))+(F123*'5.Closing Stock &amp; W Capital'!$D$16))*$C174*I$154</f>
        <v>0</v>
      </c>
      <c r="J174" s="200">
        <f>((H123*(1-'5.Closing Stock &amp; W Capital'!$D$16))+(G123*'5.Closing Stock &amp; W Capital'!$D$16))*$C174*J$154</f>
        <v>0</v>
      </c>
      <c r="K174" s="94"/>
      <c r="L174" s="94"/>
      <c r="M174">
        <f>+M173*2000</f>
        <v>0</v>
      </c>
    </row>
    <row r="175" spans="1:13">
      <c r="A175" s="95">
        <f t="shared" si="26"/>
        <v>0</v>
      </c>
      <c r="B175" s="95" t="s">
        <v>320</v>
      </c>
      <c r="C175" s="260"/>
      <c r="D175" s="200">
        <f>(B124*(1-'5.Closing Stock &amp; W Capital'!$D$16))*$C175*D$154</f>
        <v>0</v>
      </c>
      <c r="E175" s="200">
        <f>((C124*(1-'5.Closing Stock &amp; W Capital'!$D$16))+(B124*'5.Closing Stock &amp; W Capital'!$D$16))*$C175*E$154</f>
        <v>0</v>
      </c>
      <c r="F175" s="200">
        <f>((D124*(1-'5.Closing Stock &amp; W Capital'!$D$16))+(C124*'5.Closing Stock &amp; W Capital'!$D$16))*$C175*F$154</f>
        <v>0</v>
      </c>
      <c r="G175" s="200">
        <f>((E124*(1-'5.Closing Stock &amp; W Capital'!$D$16))+(D124*'5.Closing Stock &amp; W Capital'!$D$16))*$C175*G$154</f>
        <v>0</v>
      </c>
      <c r="H175" s="200">
        <f>((F124*(1-'5.Closing Stock &amp; W Capital'!$D$16))+(E124*'5.Closing Stock &amp; W Capital'!$D$16))*$C175*H$154</f>
        <v>0</v>
      </c>
      <c r="I175" s="200">
        <f>((G124*(1-'5.Closing Stock &amp; W Capital'!$D$16))+(F124*'5.Closing Stock &amp; W Capital'!$D$16))*$C175*I$154</f>
        <v>0</v>
      </c>
      <c r="J175" s="200">
        <f>((H124*(1-'5.Closing Stock &amp; W Capital'!$D$16))+(G124*'5.Closing Stock &amp; W Capital'!$D$16))*$C175*J$154</f>
        <v>0</v>
      </c>
      <c r="K175" s="94"/>
      <c r="L175" s="94"/>
    </row>
    <row r="176" spans="1:13">
      <c r="A176" s="95">
        <f t="shared" si="26"/>
        <v>0</v>
      </c>
      <c r="B176" s="95" t="s">
        <v>320</v>
      </c>
      <c r="C176" s="260"/>
      <c r="D176" s="200">
        <f>(B125*(1-'5.Closing Stock &amp; W Capital'!$D$16))*$C176*D$154</f>
        <v>0</v>
      </c>
      <c r="E176" s="200">
        <f>((C125*(1-'5.Closing Stock &amp; W Capital'!$D$16))+(B125*'5.Closing Stock &amp; W Capital'!$D$16))*$C176*E$154</f>
        <v>0</v>
      </c>
      <c r="F176" s="200">
        <f>((D125*(1-'5.Closing Stock &amp; W Capital'!$D$16))+(C125*'5.Closing Stock &amp; W Capital'!$D$16))*$C176*F$154</f>
        <v>0</v>
      </c>
      <c r="G176" s="200">
        <f>((E125*(1-'5.Closing Stock &amp; W Capital'!$D$16))+(D125*'5.Closing Stock &amp; W Capital'!$D$16))*$C176*G$154</f>
        <v>0</v>
      </c>
      <c r="H176" s="200">
        <f>((F125*(1-'5.Closing Stock &amp; W Capital'!$D$16))+(E125*'5.Closing Stock &amp; W Capital'!$D$16))*$C176*H$154</f>
        <v>0</v>
      </c>
      <c r="I176" s="200">
        <f>((G125*(1-'5.Closing Stock &amp; W Capital'!$D$16))+(F125*'5.Closing Stock &amp; W Capital'!$D$16))*$C176*I$154</f>
        <v>0</v>
      </c>
      <c r="J176" s="200">
        <f>((H125*(1-'5.Closing Stock &amp; W Capital'!$D$16))+(G125*'5.Closing Stock &amp; W Capital'!$D$16))*$C176*J$154</f>
        <v>0</v>
      </c>
      <c r="K176" s="94"/>
      <c r="L176" s="94"/>
    </row>
    <row r="177" spans="1:12">
      <c r="A177" s="95" t="str">
        <f t="shared" si="26"/>
        <v>Groundnut</v>
      </c>
      <c r="B177" s="95" t="s">
        <v>320</v>
      </c>
      <c r="C177" s="260"/>
      <c r="D177" s="200">
        <f>(B126*(1-'5.Closing Stock &amp; W Capital'!$D$16))*$C177*D$154</f>
        <v>0</v>
      </c>
      <c r="E177" s="200">
        <f>((C126*(1-'5.Closing Stock &amp; W Capital'!$D$16))+(B126*'5.Closing Stock &amp; W Capital'!$D$16))*$C177*E$154</f>
        <v>0</v>
      </c>
      <c r="F177" s="200">
        <f>((D126*(1-'5.Closing Stock &amp; W Capital'!$D$16))+(C126*'5.Closing Stock &amp; W Capital'!$D$16))*$C177*F$154</f>
        <v>0</v>
      </c>
      <c r="G177" s="200">
        <f>((E126*(1-'5.Closing Stock &amp; W Capital'!$D$16))+(D126*'5.Closing Stock &amp; W Capital'!$D$16))*$C177*G$154</f>
        <v>0</v>
      </c>
      <c r="H177" s="200">
        <f>((F126*(1-'5.Closing Stock &amp; W Capital'!$D$16))+(E126*'5.Closing Stock &amp; W Capital'!$D$16))*$C177*H$154</f>
        <v>0</v>
      </c>
      <c r="I177" s="200">
        <f>((G126*(1-'5.Closing Stock &amp; W Capital'!$D$16))+(F126*'5.Closing Stock &amp; W Capital'!$D$16))*$C177*I$154</f>
        <v>0</v>
      </c>
      <c r="J177" s="200">
        <f>((H126*(1-'5.Closing Stock &amp; W Capital'!$D$16))+(G126*'5.Closing Stock &amp; W Capital'!$D$16))*$C177*J$154</f>
        <v>0</v>
      </c>
      <c r="K177" s="94"/>
      <c r="L177" s="94"/>
    </row>
    <row r="178" spans="1:12">
      <c r="A178" s="95">
        <f t="shared" si="26"/>
        <v>0</v>
      </c>
      <c r="B178" s="95" t="s">
        <v>320</v>
      </c>
      <c r="C178" s="260"/>
      <c r="D178" s="200">
        <f>(B127*(1-'5.Closing Stock &amp; W Capital'!$D$16))*$C178*D$154</f>
        <v>0</v>
      </c>
      <c r="E178" s="200">
        <f>((C127*(1-'5.Closing Stock &amp; W Capital'!$D$16))+(B127*'5.Closing Stock &amp; W Capital'!$D$16))*$C178*E$154</f>
        <v>0</v>
      </c>
      <c r="F178" s="200">
        <f>((D127*(1-'5.Closing Stock &amp; W Capital'!$D$16))+(C127*'5.Closing Stock &amp; W Capital'!$D$16))*$C178*F$154</f>
        <v>0</v>
      </c>
      <c r="G178" s="200">
        <f>((E127*(1-'5.Closing Stock &amp; W Capital'!$D$16))+(D127*'5.Closing Stock &amp; W Capital'!$D$16))*$C178*G$154</f>
        <v>0</v>
      </c>
      <c r="H178" s="200">
        <f>((F127*(1-'5.Closing Stock &amp; W Capital'!$D$16))+(E127*'5.Closing Stock &amp; W Capital'!$D$16))*$C178*H$154</f>
        <v>0</v>
      </c>
      <c r="I178" s="200">
        <f>((G127*(1-'5.Closing Stock &amp; W Capital'!$D$16))+(F127*'5.Closing Stock &amp; W Capital'!$D$16))*$C178*I$154</f>
        <v>0</v>
      </c>
      <c r="J178" s="200">
        <f>((H127*(1-'5.Closing Stock &amp; W Capital'!$D$16))+(G127*'5.Closing Stock &amp; W Capital'!$D$16))*$C178*J$154</f>
        <v>0</v>
      </c>
      <c r="K178" s="94"/>
      <c r="L178" s="94"/>
    </row>
    <row r="179" spans="1:12">
      <c r="A179" s="95">
        <f t="shared" si="26"/>
        <v>0</v>
      </c>
      <c r="B179" s="95" t="s">
        <v>320</v>
      </c>
      <c r="C179" s="260"/>
      <c r="D179" s="200">
        <f>(B128*(1-'5.Closing Stock &amp; W Capital'!$D$16))*$C179*D$154</f>
        <v>0</v>
      </c>
      <c r="E179" s="200">
        <f>((C128*(1-'5.Closing Stock &amp; W Capital'!$D$16))+(B128*'5.Closing Stock &amp; W Capital'!$D$16))*$C179*E$154</f>
        <v>0</v>
      </c>
      <c r="F179" s="200">
        <f>((D128*(1-'5.Closing Stock &amp; W Capital'!$D$16))+(C128*'5.Closing Stock &amp; W Capital'!$D$16))*$C179*F$154</f>
        <v>0</v>
      </c>
      <c r="G179" s="200">
        <f>((E128*(1-'5.Closing Stock &amp; W Capital'!$D$16))+(D128*'5.Closing Stock &amp; W Capital'!$D$16))*$C179*G$154</f>
        <v>0</v>
      </c>
      <c r="H179" s="200">
        <f>((F128*(1-'5.Closing Stock &amp; W Capital'!$D$16))+(E128*'5.Closing Stock &amp; W Capital'!$D$16))*$C179*H$154</f>
        <v>0</v>
      </c>
      <c r="I179" s="200">
        <f>((G128*(1-'5.Closing Stock &amp; W Capital'!$D$16))+(F128*'5.Closing Stock &amp; W Capital'!$D$16))*$C179*I$154</f>
        <v>0</v>
      </c>
      <c r="J179" s="200">
        <f>((H128*(1-'5.Closing Stock &amp; W Capital'!$D$16))+(G128*'5.Closing Stock &amp; W Capital'!$D$16))*$C179*J$154</f>
        <v>0</v>
      </c>
      <c r="K179" s="94"/>
      <c r="L179" s="94"/>
    </row>
    <row r="180" spans="1:12">
      <c r="A180" s="95">
        <f t="shared" si="26"/>
        <v>0</v>
      </c>
      <c r="B180" s="95" t="s">
        <v>320</v>
      </c>
      <c r="C180" s="260"/>
      <c r="D180" s="200">
        <f>(B129*(1-'5.Closing Stock &amp; W Capital'!$D$16))*$C180*D$154</f>
        <v>0</v>
      </c>
      <c r="E180" s="200">
        <f>((C129*(1-'5.Closing Stock &amp; W Capital'!$D$16))+(B129*'5.Closing Stock &amp; W Capital'!$D$16))*$C180*E$154</f>
        <v>0</v>
      </c>
      <c r="F180" s="200">
        <f>((D129*(1-'5.Closing Stock &amp; W Capital'!$D$16))+(C129*'5.Closing Stock &amp; W Capital'!$D$16))*$C180*F$154</f>
        <v>0</v>
      </c>
      <c r="G180" s="200">
        <f>((E129*(1-'5.Closing Stock &amp; W Capital'!$D$16))+(D129*'5.Closing Stock &amp; W Capital'!$D$16))*$C180*G$154</f>
        <v>0</v>
      </c>
      <c r="H180" s="200">
        <f>((F129*(1-'5.Closing Stock &amp; W Capital'!$D$16))+(E129*'5.Closing Stock &amp; W Capital'!$D$16))*$C180*H$154</f>
        <v>0</v>
      </c>
      <c r="I180" s="200">
        <f>((G129*(1-'5.Closing Stock &amp; W Capital'!$D$16))+(F129*'5.Closing Stock &amp; W Capital'!$D$16))*$C180*I$154</f>
        <v>0</v>
      </c>
      <c r="J180" s="200">
        <f>((H129*(1-'5.Closing Stock &amp; W Capital'!$D$16))+(G129*'5.Closing Stock &amp; W Capital'!$D$16))*$C180*J$154</f>
        <v>0</v>
      </c>
      <c r="K180" s="94"/>
      <c r="L180" s="94"/>
    </row>
    <row r="181" spans="1:12">
      <c r="A181" s="95"/>
      <c r="B181" s="95" t="s">
        <v>320</v>
      </c>
      <c r="C181" s="260"/>
      <c r="D181" s="200">
        <f>(B130*(1-'5.Closing Stock &amp; W Capital'!$D$16))*$C181*D$154</f>
        <v>0</v>
      </c>
      <c r="E181" s="200">
        <f>((C130*(1-'5.Closing Stock &amp; W Capital'!$D$16))+(B130*'5.Closing Stock &amp; W Capital'!$D$16))*$C181*E$154</f>
        <v>0</v>
      </c>
      <c r="F181" s="200">
        <f>((D130*(1-'5.Closing Stock &amp; W Capital'!$D$16))+(C130*'5.Closing Stock &amp; W Capital'!$D$16))*$C181*F$154</f>
        <v>0</v>
      </c>
      <c r="G181" s="200">
        <f>((E130*(1-'5.Closing Stock &amp; W Capital'!$D$16))+(D130*'5.Closing Stock &amp; W Capital'!$D$16))*$C181*G$154</f>
        <v>0</v>
      </c>
      <c r="H181" s="200">
        <f>((F130*(1-'5.Closing Stock &amp; W Capital'!$D$16))+(E130*'5.Closing Stock &amp; W Capital'!$D$16))*$C181*H$154</f>
        <v>0</v>
      </c>
      <c r="I181" s="200">
        <f>((G130*(1-'5.Closing Stock &amp; W Capital'!$D$16))+(F130*'5.Closing Stock &amp; W Capital'!$D$16))*$C181*I$154</f>
        <v>0</v>
      </c>
      <c r="J181" s="200">
        <f>((H130*(1-'5.Closing Stock &amp; W Capital'!$D$16))+(G130*'5.Closing Stock &amp; W Capital'!$D$16))*$C181*J$154</f>
        <v>0</v>
      </c>
      <c r="K181" s="94"/>
      <c r="L181" s="94"/>
    </row>
    <row r="182" spans="1:12">
      <c r="A182" s="97" t="s">
        <v>248</v>
      </c>
      <c r="B182" s="95" t="s">
        <v>320</v>
      </c>
      <c r="C182" s="237">
        <v>50</v>
      </c>
      <c r="D182" s="200">
        <f t="shared" ref="D182:J182" si="27">B60*$C$182*D154</f>
        <v>0</v>
      </c>
      <c r="E182" s="200">
        <f t="shared" si="27"/>
        <v>0</v>
      </c>
      <c r="F182" s="200">
        <f t="shared" si="27"/>
        <v>0</v>
      </c>
      <c r="G182" s="200">
        <f t="shared" si="27"/>
        <v>0</v>
      </c>
      <c r="H182" s="200">
        <f t="shared" si="27"/>
        <v>0</v>
      </c>
      <c r="I182" s="200">
        <f t="shared" si="27"/>
        <v>0</v>
      </c>
      <c r="J182" s="200">
        <f t="shared" si="27"/>
        <v>0</v>
      </c>
      <c r="K182" s="94"/>
      <c r="L182" s="94"/>
    </row>
    <row r="183" spans="1:12">
      <c r="A183" s="97"/>
      <c r="B183" s="97"/>
      <c r="C183" s="97"/>
      <c r="D183" s="95"/>
      <c r="E183" s="95"/>
      <c r="F183" s="95"/>
      <c r="G183" s="95"/>
      <c r="H183" s="95"/>
      <c r="I183" s="95"/>
      <c r="J183" s="95"/>
      <c r="K183" s="94"/>
      <c r="L183" s="94"/>
    </row>
    <row r="184" spans="1:12">
      <c r="A184" s="97" t="str">
        <f t="shared" ref="A184:A202" si="28">A132</f>
        <v>Fruit  &amp; Vegetables Crop Production Details</v>
      </c>
      <c r="B184" s="97"/>
      <c r="C184" s="97"/>
      <c r="D184" s="95"/>
      <c r="E184" s="95"/>
      <c r="F184" s="95"/>
      <c r="G184" s="95"/>
      <c r="H184" s="95"/>
      <c r="I184" s="95"/>
      <c r="J184" s="95"/>
      <c r="K184" s="94"/>
      <c r="L184" s="94"/>
    </row>
    <row r="185" spans="1:12">
      <c r="A185" s="97" t="str">
        <f t="shared" si="28"/>
        <v>Mango</v>
      </c>
      <c r="B185" s="95" t="s">
        <v>320</v>
      </c>
      <c r="C185" s="347">
        <v>2000</v>
      </c>
      <c r="D185" s="200">
        <f>(B133*(1-'5.Closing Stock &amp; W Capital'!$D$16))*$C185*D$154</f>
        <v>0</v>
      </c>
      <c r="E185" s="200">
        <f>((C133*(1-'5.Closing Stock &amp; W Capital'!$D$16))+(B133*'5.Closing Stock &amp; W Capital'!$D$16))*$C185*E$154</f>
        <v>0</v>
      </c>
      <c r="F185" s="200">
        <f>((D133*(1-'5.Closing Stock &amp; W Capital'!$D$16))+(C133*'5.Closing Stock &amp; W Capital'!$D$16))*$C185*F$154</f>
        <v>0</v>
      </c>
      <c r="G185" s="200">
        <f>((E133*(1-'5.Closing Stock &amp; W Capital'!$D$16))+(D133*'5.Closing Stock &amp; W Capital'!$D$16))*$C185*G$154</f>
        <v>0</v>
      </c>
      <c r="H185" s="200">
        <f>((F133*(1-'5.Closing Stock &amp; W Capital'!$D$16))+(E133*'5.Closing Stock &amp; W Capital'!$D$16))*$C185*H$154</f>
        <v>0</v>
      </c>
      <c r="I185" s="200">
        <f>((G133*(1-'5.Closing Stock &amp; W Capital'!$D$16))+(F133*'5.Closing Stock &amp; W Capital'!$D$16))*$C185*I$154</f>
        <v>0</v>
      </c>
      <c r="J185" s="200">
        <f>((H133*(1-'5.Closing Stock &amp; W Capital'!$D$16))+(G133*'5.Closing Stock &amp; W Capital'!$D$16))*$C185*J$154</f>
        <v>0</v>
      </c>
      <c r="K185" s="94"/>
      <c r="L185" s="94"/>
    </row>
    <row r="186" spans="1:12">
      <c r="A186" s="97" t="str">
        <f t="shared" si="28"/>
        <v>Custard Apple</v>
      </c>
      <c r="B186" s="95" t="s">
        <v>320</v>
      </c>
      <c r="C186" s="260">
        <v>1000</v>
      </c>
      <c r="D186" s="200">
        <f>(B134*(1-'5.Closing Stock &amp; W Capital'!$D$16))*$C186*D$154</f>
        <v>0</v>
      </c>
      <c r="E186" s="200">
        <f>((C134*(1-'5.Closing Stock &amp; W Capital'!$D$16))+(B134*'5.Closing Stock &amp; W Capital'!$D$16))*$C186*E$154</f>
        <v>0</v>
      </c>
      <c r="F186" s="200">
        <f>((D134*(1-'5.Closing Stock &amp; W Capital'!$D$16))+(C134*'5.Closing Stock &amp; W Capital'!$D$16))*$C186*F$154</f>
        <v>0</v>
      </c>
      <c r="G186" s="200">
        <f>((E134*(1-'5.Closing Stock &amp; W Capital'!$D$16))+(D134*'5.Closing Stock &amp; W Capital'!$D$16))*$C186*G$154</f>
        <v>0</v>
      </c>
      <c r="H186" s="200">
        <f>((F134*(1-'5.Closing Stock &amp; W Capital'!$D$16))+(E134*'5.Closing Stock &amp; W Capital'!$D$16))*$C186*H$154</f>
        <v>0</v>
      </c>
      <c r="I186" s="200">
        <f>((G134*(1-'5.Closing Stock &amp; W Capital'!$D$16))+(F134*'5.Closing Stock &amp; W Capital'!$D$16))*$C186*I$154</f>
        <v>0</v>
      </c>
      <c r="J186" s="200">
        <f>((H134*(1-'5.Closing Stock &amp; W Capital'!$D$16))+(G134*'5.Closing Stock &amp; W Capital'!$D$16))*$C186*J$154</f>
        <v>0</v>
      </c>
      <c r="K186" s="94"/>
      <c r="L186" s="94"/>
    </row>
    <row r="187" spans="1:12">
      <c r="A187" s="97" t="str">
        <f t="shared" si="28"/>
        <v>Guava</v>
      </c>
      <c r="B187" s="95" t="s">
        <v>320</v>
      </c>
      <c r="C187" s="260">
        <v>1500</v>
      </c>
      <c r="D187" s="200">
        <f>(B135*(1-'5.Closing Stock &amp; W Capital'!$D$16))*$C187*D$154</f>
        <v>0</v>
      </c>
      <c r="E187" s="200">
        <f>((C135*(1-'5.Closing Stock &amp; W Capital'!$D$16))+(B135*'5.Closing Stock &amp; W Capital'!$D$16))*$C187*E$154</f>
        <v>0</v>
      </c>
      <c r="F187" s="200">
        <f>((D135*(1-'5.Closing Stock &amp; W Capital'!$D$16))+(C135*'5.Closing Stock &amp; W Capital'!$D$16))*$C187*F$154</f>
        <v>0</v>
      </c>
      <c r="G187" s="200">
        <f>((E135*(1-'5.Closing Stock &amp; W Capital'!$D$16))+(D135*'5.Closing Stock &amp; W Capital'!$D$16))*$C187*G$154</f>
        <v>0</v>
      </c>
      <c r="H187" s="200">
        <f>((F135*(1-'5.Closing Stock &amp; W Capital'!$D$16))+(E135*'5.Closing Stock &amp; W Capital'!$D$16))*$C187*H$154</f>
        <v>0</v>
      </c>
      <c r="I187" s="200">
        <f>((G135*(1-'5.Closing Stock &amp; W Capital'!$D$16))+(F135*'5.Closing Stock &amp; W Capital'!$D$16))*$C187*I$154</f>
        <v>0</v>
      </c>
      <c r="J187" s="200">
        <f>((H135*(1-'5.Closing Stock &amp; W Capital'!$D$16))+(G135*'5.Closing Stock &amp; W Capital'!$D$16))*$C187*J$154</f>
        <v>0</v>
      </c>
      <c r="K187" s="94"/>
      <c r="L187" s="94"/>
    </row>
    <row r="188" spans="1:12">
      <c r="A188" s="97">
        <f t="shared" si="28"/>
        <v>0</v>
      </c>
      <c r="B188" s="95" t="s">
        <v>320</v>
      </c>
      <c r="C188" s="260">
        <v>3000</v>
      </c>
      <c r="D188" s="200">
        <f>(B136*(1-'5.Closing Stock &amp; W Capital'!$D$16))*$C188*D$154</f>
        <v>0</v>
      </c>
      <c r="E188" s="200">
        <f>((C136*(1-'5.Closing Stock &amp; W Capital'!$D$16))+(B136*'5.Closing Stock &amp; W Capital'!$D$16))*$C188*E$154</f>
        <v>0</v>
      </c>
      <c r="F188" s="200">
        <f>((D136*(1-'5.Closing Stock &amp; W Capital'!$D$16))+(C136*'5.Closing Stock &amp; W Capital'!$D$16))*$C188*F$154</f>
        <v>0</v>
      </c>
      <c r="G188" s="200">
        <f>((E136*(1-'5.Closing Stock &amp; W Capital'!$D$16))+(D136*'5.Closing Stock &amp; W Capital'!$D$16))*$C188*G$154</f>
        <v>0</v>
      </c>
      <c r="H188" s="200">
        <f>((F136*(1-'5.Closing Stock &amp; W Capital'!$D$16))+(E136*'5.Closing Stock &amp; W Capital'!$D$16))*$C188*H$154</f>
        <v>0</v>
      </c>
      <c r="I188" s="200">
        <f>((G136*(1-'5.Closing Stock &amp; W Capital'!$D$16))+(F136*'5.Closing Stock &amp; W Capital'!$D$16))*$C188*I$154</f>
        <v>0</v>
      </c>
      <c r="J188" s="200">
        <f>((H136*(1-'5.Closing Stock &amp; W Capital'!$D$16))+(G136*'5.Closing Stock &amp; W Capital'!$D$16))*$C188*J$154</f>
        <v>0</v>
      </c>
      <c r="K188" s="94"/>
      <c r="L188" s="94"/>
    </row>
    <row r="189" spans="1:12">
      <c r="A189" s="97">
        <f t="shared" si="28"/>
        <v>0</v>
      </c>
      <c r="B189" s="95" t="s">
        <v>320</v>
      </c>
      <c r="C189" s="260">
        <v>1500</v>
      </c>
      <c r="D189" s="200">
        <f>(B137*(1-'5.Closing Stock &amp; W Capital'!$D$16))*$C189*D$154</f>
        <v>0</v>
      </c>
      <c r="E189" s="200">
        <f>((C137*(1-'5.Closing Stock &amp; W Capital'!$D$16))+(B137*'5.Closing Stock &amp; W Capital'!$D$16))*$C189*E$154</f>
        <v>0</v>
      </c>
      <c r="F189" s="200">
        <f>((D137*(1-'5.Closing Stock &amp; W Capital'!$D$16))+(C137*'5.Closing Stock &amp; W Capital'!$D$16))*$C189*F$154</f>
        <v>0</v>
      </c>
      <c r="G189" s="200">
        <f>((E137*(1-'5.Closing Stock &amp; W Capital'!$D$16))+(D137*'5.Closing Stock &amp; W Capital'!$D$16))*$C189*G$154</f>
        <v>0</v>
      </c>
      <c r="H189" s="200">
        <f>((F137*(1-'5.Closing Stock &amp; W Capital'!$D$16))+(E137*'5.Closing Stock &amp; W Capital'!$D$16))*$C189*H$154</f>
        <v>0</v>
      </c>
      <c r="I189" s="200">
        <f>((G137*(1-'5.Closing Stock &amp; W Capital'!$D$16))+(F137*'5.Closing Stock &amp; W Capital'!$D$16))*$C189*I$154</f>
        <v>0</v>
      </c>
      <c r="J189" s="200">
        <f>((H137*(1-'5.Closing Stock &amp; W Capital'!$D$16))+(G137*'5.Closing Stock &amp; W Capital'!$D$16))*$C189*J$154</f>
        <v>0</v>
      </c>
      <c r="K189" s="94"/>
      <c r="L189" s="94"/>
    </row>
    <row r="190" spans="1:12">
      <c r="A190" s="97">
        <f t="shared" si="28"/>
        <v>0</v>
      </c>
      <c r="B190" s="95" t="s">
        <v>320</v>
      </c>
      <c r="C190" s="237"/>
      <c r="D190" s="200">
        <f>(B138*(1-'5.Closing Stock &amp; W Capital'!$D$16))*$C190*D$154</f>
        <v>0</v>
      </c>
      <c r="E190" s="200">
        <f>((C138*(1-'5.Closing Stock &amp; W Capital'!$D$16))+(B138*'5.Closing Stock &amp; W Capital'!$D$16))*$C190*E$154</f>
        <v>0</v>
      </c>
      <c r="F190" s="200">
        <f>((D138*(1-'5.Closing Stock &amp; W Capital'!$D$16))+(C138*'5.Closing Stock &amp; W Capital'!$D$16))*$C190*F$154</f>
        <v>0</v>
      </c>
      <c r="G190" s="200">
        <f>((E138*(1-'5.Closing Stock &amp; W Capital'!$D$16))+(D138*'5.Closing Stock &amp; W Capital'!$D$16))*$C190*G$154</f>
        <v>0</v>
      </c>
      <c r="H190" s="200">
        <f>((F138*(1-'5.Closing Stock &amp; W Capital'!$D$16))+(E138*'5.Closing Stock &amp; W Capital'!$D$16))*$C190*H$154</f>
        <v>0</v>
      </c>
      <c r="I190" s="200">
        <f>((G138*(1-'5.Closing Stock &amp; W Capital'!$D$16))+(F138*'5.Closing Stock &amp; W Capital'!$D$16))*$C190*I$154</f>
        <v>0</v>
      </c>
      <c r="J190" s="200">
        <f>((H138*(1-'5.Closing Stock &amp; W Capital'!$D$16))+(G138*'5.Closing Stock &amp; W Capital'!$D$16))*$C190*J$154</f>
        <v>0</v>
      </c>
      <c r="K190" s="94"/>
      <c r="L190" s="94"/>
    </row>
    <row r="191" spans="1:12">
      <c r="A191" s="97">
        <f t="shared" si="28"/>
        <v>0</v>
      </c>
      <c r="B191" s="95" t="s">
        <v>320</v>
      </c>
      <c r="C191" s="237"/>
      <c r="D191" s="200">
        <f>(B139*(1-'5.Closing Stock &amp; W Capital'!$D$16))*$C191*D$154</f>
        <v>0</v>
      </c>
      <c r="E191" s="200">
        <f>((C139*(1-'5.Closing Stock &amp; W Capital'!$D$16))+(B139*'5.Closing Stock &amp; W Capital'!$D$16))*$C191*E$154</f>
        <v>0</v>
      </c>
      <c r="F191" s="200">
        <f>((D139*(1-'5.Closing Stock &amp; W Capital'!$D$16))+(C139*'5.Closing Stock &amp; W Capital'!$D$16))*$C191*F$154</f>
        <v>0</v>
      </c>
      <c r="G191" s="200">
        <f>((E139*(1-'5.Closing Stock &amp; W Capital'!$D$16))+(D139*'5.Closing Stock &amp; W Capital'!$D$16))*$C191*G$154</f>
        <v>0</v>
      </c>
      <c r="H191" s="200">
        <f>((F139*(1-'5.Closing Stock &amp; W Capital'!$D$16))+(E139*'5.Closing Stock &amp; W Capital'!$D$16))*$C191*H$154</f>
        <v>0</v>
      </c>
      <c r="I191" s="200">
        <f>((G139*(1-'5.Closing Stock &amp; W Capital'!$D$16))+(F139*'5.Closing Stock &amp; W Capital'!$D$16))*$C191*I$154</f>
        <v>0</v>
      </c>
      <c r="J191" s="200">
        <f>((H139*(1-'5.Closing Stock &amp; W Capital'!$D$16))+(G139*'5.Closing Stock &amp; W Capital'!$D$16))*$C191*J$154</f>
        <v>0</v>
      </c>
      <c r="K191" s="94"/>
      <c r="L191" s="94"/>
    </row>
    <row r="192" spans="1:12">
      <c r="A192" s="97">
        <f t="shared" si="28"/>
        <v>0</v>
      </c>
      <c r="B192" s="95" t="s">
        <v>320</v>
      </c>
      <c r="C192" s="237"/>
      <c r="D192" s="200">
        <f>(B140*(1-'5.Closing Stock &amp; W Capital'!$D$16))*$C192*D$154</f>
        <v>0</v>
      </c>
      <c r="E192" s="200">
        <f>((C140*(1-'5.Closing Stock &amp; W Capital'!$D$16))+(B140*'5.Closing Stock &amp; W Capital'!$D$16))*$C192*E$154</f>
        <v>0</v>
      </c>
      <c r="F192" s="200">
        <f>((D140*(1-'5.Closing Stock &amp; W Capital'!$D$16))+(C140*'5.Closing Stock &amp; W Capital'!$D$16))*$C192*F$154</f>
        <v>0</v>
      </c>
      <c r="G192" s="200">
        <f>((E140*(1-'5.Closing Stock &amp; W Capital'!$D$16))+(D140*'5.Closing Stock &amp; W Capital'!$D$16))*$C192*G$154</f>
        <v>0</v>
      </c>
      <c r="H192" s="200">
        <f>((F140*(1-'5.Closing Stock &amp; W Capital'!$D$16))+(E140*'5.Closing Stock &amp; W Capital'!$D$16))*$C192*H$154</f>
        <v>0</v>
      </c>
      <c r="I192" s="200">
        <f>((G140*(1-'5.Closing Stock &amp; W Capital'!$D$16))+(F140*'5.Closing Stock &amp; W Capital'!$D$16))*$C192*I$154</f>
        <v>0</v>
      </c>
      <c r="J192" s="200">
        <f>((H140*(1-'5.Closing Stock &amp; W Capital'!$D$16))+(G140*'5.Closing Stock &amp; W Capital'!$D$16))*$C192*J$154</f>
        <v>0</v>
      </c>
      <c r="K192" s="94"/>
      <c r="L192" s="94"/>
    </row>
    <row r="193" spans="1:12">
      <c r="A193" s="97">
        <f t="shared" si="28"/>
        <v>0</v>
      </c>
      <c r="B193" s="95" t="s">
        <v>320</v>
      </c>
      <c r="C193" s="237"/>
      <c r="D193" s="200">
        <f>(B141*(1-'5.Closing Stock &amp; W Capital'!$D$16))*$C193*D$154</f>
        <v>0</v>
      </c>
      <c r="E193" s="200">
        <f>((C141*(1-'5.Closing Stock &amp; W Capital'!$D$16))+(B141*'5.Closing Stock &amp; W Capital'!$D$16))*$C193*E$154</f>
        <v>0</v>
      </c>
      <c r="F193" s="200">
        <f>((D141*(1-'5.Closing Stock &amp; W Capital'!$D$16))+(C141*'5.Closing Stock &amp; W Capital'!$D$16))*$C193*F$154</f>
        <v>0</v>
      </c>
      <c r="G193" s="200">
        <f>((E141*(1-'5.Closing Stock &amp; W Capital'!$D$16))+(D141*'5.Closing Stock &amp; W Capital'!$D$16))*$C193*G$154</f>
        <v>0</v>
      </c>
      <c r="H193" s="200">
        <f>((F141*(1-'5.Closing Stock &amp; W Capital'!$D$16))+(E141*'5.Closing Stock &amp; W Capital'!$D$16))*$C193*H$154</f>
        <v>0</v>
      </c>
      <c r="I193" s="200">
        <f>((G141*(1-'5.Closing Stock &amp; W Capital'!$D$16))+(F141*'5.Closing Stock &amp; W Capital'!$D$16))*$C193*I$154</f>
        <v>0</v>
      </c>
      <c r="J193" s="200">
        <f>((H141*(1-'5.Closing Stock &amp; W Capital'!$D$16))+(G141*'5.Closing Stock &amp; W Capital'!$D$16))*$C193*J$154</f>
        <v>0</v>
      </c>
      <c r="K193" s="94"/>
      <c r="L193" s="94"/>
    </row>
    <row r="194" spans="1:12">
      <c r="A194" s="97" t="str">
        <f t="shared" si="28"/>
        <v>Mango</v>
      </c>
      <c r="B194" s="95" t="s">
        <v>320</v>
      </c>
      <c r="C194" s="260">
        <v>2000</v>
      </c>
      <c r="D194" s="200">
        <f>(B142*(1-'5.Closing Stock &amp; W Capital'!$D$16))*$C194*D$154</f>
        <v>0</v>
      </c>
      <c r="E194" s="200">
        <f>((C142*(1-'5.Closing Stock &amp; W Capital'!$D$16))+(B142*'5.Closing Stock &amp; W Capital'!$D$16))*$C194*E$154</f>
        <v>0</v>
      </c>
      <c r="F194" s="200">
        <f>((D142*(1-'5.Closing Stock &amp; W Capital'!$D$16))+(C142*'5.Closing Stock &amp; W Capital'!$D$16))*$C194*F$154</f>
        <v>0</v>
      </c>
      <c r="G194" s="200">
        <f>((E142*(1-'5.Closing Stock &amp; W Capital'!$D$16))+(D142*'5.Closing Stock &amp; W Capital'!$D$16))*$C194*G$154</f>
        <v>0</v>
      </c>
      <c r="H194" s="200">
        <f>((F142*(1-'5.Closing Stock &amp; W Capital'!$D$16))+(E142*'5.Closing Stock &amp; W Capital'!$D$16))*$C194*H$154</f>
        <v>0</v>
      </c>
      <c r="I194" s="200">
        <f>((G142*(1-'5.Closing Stock &amp; W Capital'!$D$16))+(F142*'5.Closing Stock &amp; W Capital'!$D$16))*$C194*I$154</f>
        <v>0</v>
      </c>
      <c r="J194" s="200">
        <f>((H142*(1-'5.Closing Stock &amp; W Capital'!$D$16))+(G142*'5.Closing Stock &amp; W Capital'!$D$16))*$C194*J$154</f>
        <v>0</v>
      </c>
      <c r="K194" s="94"/>
      <c r="L194" s="94"/>
    </row>
    <row r="195" spans="1:12">
      <c r="A195" s="97" t="str">
        <f t="shared" si="28"/>
        <v>Custard Apple</v>
      </c>
      <c r="B195" s="95" t="s">
        <v>320</v>
      </c>
      <c r="C195" s="260">
        <v>1000</v>
      </c>
      <c r="D195" s="200">
        <f>(B143*(1-'5.Closing Stock &amp; W Capital'!$D$16))*$C195*D$154</f>
        <v>0</v>
      </c>
      <c r="E195" s="200">
        <f>((C143*(1-'5.Closing Stock &amp; W Capital'!$D$16))+(B143*'5.Closing Stock &amp; W Capital'!$D$16))*$C195*E$154</f>
        <v>0</v>
      </c>
      <c r="F195" s="200">
        <f>((D143*(1-'5.Closing Stock &amp; W Capital'!$D$16))+(C143*'5.Closing Stock &amp; W Capital'!$D$16))*$C195*F$154</f>
        <v>0</v>
      </c>
      <c r="G195" s="200">
        <f>((E143*(1-'5.Closing Stock &amp; W Capital'!$D$16))+(D143*'5.Closing Stock &amp; W Capital'!$D$16))*$C195*G$154</f>
        <v>0</v>
      </c>
      <c r="H195" s="200">
        <f>((F143*(1-'5.Closing Stock &amp; W Capital'!$D$16))+(E143*'5.Closing Stock &amp; W Capital'!$D$16))*$C195*H$154</f>
        <v>0</v>
      </c>
      <c r="I195" s="200">
        <f>((G143*(1-'5.Closing Stock &amp; W Capital'!$D$16))+(F143*'5.Closing Stock &amp; W Capital'!$D$16))*$C195*I$154</f>
        <v>0</v>
      </c>
      <c r="J195" s="200">
        <f>((H143*(1-'5.Closing Stock &amp; W Capital'!$D$16))+(G143*'5.Closing Stock &amp; W Capital'!$D$16))*$C195*J$154</f>
        <v>0</v>
      </c>
      <c r="K195" s="94"/>
      <c r="L195" s="94"/>
    </row>
    <row r="196" spans="1:12">
      <c r="A196" s="97" t="str">
        <f t="shared" si="28"/>
        <v>Guava</v>
      </c>
      <c r="B196" s="95" t="s">
        <v>320</v>
      </c>
      <c r="C196" s="260">
        <v>1500</v>
      </c>
      <c r="D196" s="200">
        <f>(B144*(1-'5.Closing Stock &amp; W Capital'!$D$16))*$C196*D$154</f>
        <v>0</v>
      </c>
      <c r="E196" s="200">
        <f>((C144*(1-'5.Closing Stock &amp; W Capital'!$D$16))+(B144*'5.Closing Stock &amp; W Capital'!$D$16))*$C196*E$154</f>
        <v>0</v>
      </c>
      <c r="F196" s="200">
        <f>((D144*(1-'5.Closing Stock &amp; W Capital'!$D$16))+(C144*'5.Closing Stock &amp; W Capital'!$D$16))*$C196*F$154</f>
        <v>0</v>
      </c>
      <c r="G196" s="200">
        <f>((E144*(1-'5.Closing Stock &amp; W Capital'!$D$16))+(D144*'5.Closing Stock &amp; W Capital'!$D$16))*$C196*G$154</f>
        <v>0</v>
      </c>
      <c r="H196" s="200">
        <f>((F144*(1-'5.Closing Stock &amp; W Capital'!$D$16))+(E144*'5.Closing Stock &amp; W Capital'!$D$16))*$C196*H$154</f>
        <v>0</v>
      </c>
      <c r="I196" s="200">
        <f>((G144*(1-'5.Closing Stock &amp; W Capital'!$D$16))+(F144*'5.Closing Stock &amp; W Capital'!$D$16))*$C196*I$154</f>
        <v>0</v>
      </c>
      <c r="J196" s="200">
        <f>((H144*(1-'5.Closing Stock &amp; W Capital'!$D$16))+(G144*'5.Closing Stock &amp; W Capital'!$D$16))*$C196*J$154</f>
        <v>0</v>
      </c>
      <c r="K196" s="94"/>
      <c r="L196" s="94"/>
    </row>
    <row r="197" spans="1:12">
      <c r="A197" s="97">
        <f t="shared" si="28"/>
        <v>0</v>
      </c>
      <c r="B197" s="95" t="s">
        <v>320</v>
      </c>
      <c r="C197" s="260">
        <v>3000</v>
      </c>
      <c r="D197" s="200">
        <f>(B145*(1-'5.Closing Stock &amp; W Capital'!$D$16))*$C197*D$154</f>
        <v>0</v>
      </c>
      <c r="E197" s="200">
        <f>((C145*(1-'5.Closing Stock &amp; W Capital'!$D$16))+(B145*'5.Closing Stock &amp; W Capital'!$D$16))*$C197*E$154</f>
        <v>0</v>
      </c>
      <c r="F197" s="200">
        <f>((D145*(1-'5.Closing Stock &amp; W Capital'!$D$16))+(C145*'5.Closing Stock &amp; W Capital'!$D$16))*$C197*F$154</f>
        <v>0</v>
      </c>
      <c r="G197" s="200">
        <f>((E145*(1-'5.Closing Stock &amp; W Capital'!$D$16))+(D145*'5.Closing Stock &amp; W Capital'!$D$16))*$C197*G$154</f>
        <v>0</v>
      </c>
      <c r="H197" s="200">
        <f>((F145*(1-'5.Closing Stock &amp; W Capital'!$D$16))+(E145*'5.Closing Stock &amp; W Capital'!$D$16))*$C197*H$154</f>
        <v>0</v>
      </c>
      <c r="I197" s="200">
        <f>((G145*(1-'5.Closing Stock &amp; W Capital'!$D$16))+(F145*'5.Closing Stock &amp; W Capital'!$D$16))*$C197*I$154</f>
        <v>0</v>
      </c>
      <c r="J197" s="200">
        <f>((H145*(1-'5.Closing Stock &amp; W Capital'!$D$16))+(G145*'5.Closing Stock &amp; W Capital'!$D$16))*$C197*J$154</f>
        <v>0</v>
      </c>
      <c r="K197" s="94"/>
      <c r="L197" s="94"/>
    </row>
    <row r="198" spans="1:12">
      <c r="A198" s="97">
        <f t="shared" si="28"/>
        <v>0</v>
      </c>
      <c r="B198" s="95" t="s">
        <v>320</v>
      </c>
      <c r="C198" s="260"/>
      <c r="D198" s="200">
        <f>(B146*(1-'5.Closing Stock &amp; W Capital'!$D$16))*$C198*D$154</f>
        <v>0</v>
      </c>
      <c r="E198" s="200">
        <f>((C146*(1-'5.Closing Stock &amp; W Capital'!$D$16))+(B146*'5.Closing Stock &amp; W Capital'!$D$16))*$C198*E$154</f>
        <v>0</v>
      </c>
      <c r="F198" s="200">
        <f>((D146*(1-'5.Closing Stock &amp; W Capital'!$D$16))+(C146*'5.Closing Stock &amp; W Capital'!$D$16))*$C198*F$154</f>
        <v>0</v>
      </c>
      <c r="G198" s="200">
        <f>((E146*(1-'5.Closing Stock &amp; W Capital'!$D$16))+(D146*'5.Closing Stock &amp; W Capital'!$D$16))*$C198*G$154</f>
        <v>0</v>
      </c>
      <c r="H198" s="200">
        <f>((F146*(1-'5.Closing Stock &amp; W Capital'!$D$16))+(E146*'5.Closing Stock &amp; W Capital'!$D$16))*$C198*H$154</f>
        <v>0</v>
      </c>
      <c r="I198" s="200">
        <f>((G146*(1-'5.Closing Stock &amp; W Capital'!$D$16))+(F146*'5.Closing Stock &amp; W Capital'!$D$16))*$C198*I$154</f>
        <v>0</v>
      </c>
      <c r="J198" s="200">
        <f>((H146*(1-'5.Closing Stock &amp; W Capital'!$D$16))+(G146*'5.Closing Stock &amp; W Capital'!$D$16))*$C198*J$154</f>
        <v>0</v>
      </c>
      <c r="K198" s="94"/>
      <c r="L198" s="94"/>
    </row>
    <row r="199" spans="1:12">
      <c r="A199" s="97" t="str">
        <f t="shared" si="28"/>
        <v>Mango</v>
      </c>
      <c r="B199" s="95" t="s">
        <v>320</v>
      </c>
      <c r="C199" s="260">
        <v>5000</v>
      </c>
      <c r="D199" s="200">
        <f>(B147*(1-'5.Closing Stock &amp; W Capital'!$D$16))*$C199*D$154</f>
        <v>0</v>
      </c>
      <c r="E199" s="200">
        <f>((C147*(1-'5.Closing Stock &amp; W Capital'!$D$16))+(B147*'5.Closing Stock &amp; W Capital'!$D$16))*$C199*E$154</f>
        <v>0</v>
      </c>
      <c r="F199" s="200">
        <f>((D147*(1-'5.Closing Stock &amp; W Capital'!$D$16))+(C147*'5.Closing Stock &amp; W Capital'!$D$16))*$C199*F$154</f>
        <v>0</v>
      </c>
      <c r="G199" s="200">
        <f>((E147*(1-'5.Closing Stock &amp; W Capital'!$D$16))+(D147*'5.Closing Stock &amp; W Capital'!$D$16))*$C199*G$154</f>
        <v>0</v>
      </c>
      <c r="H199" s="200">
        <f>((F147*(1-'5.Closing Stock &amp; W Capital'!$D$16))+(E147*'5.Closing Stock &amp; W Capital'!$D$16))*$C199*H$154</f>
        <v>0</v>
      </c>
      <c r="I199" s="200">
        <f>((G147*(1-'5.Closing Stock &amp; W Capital'!$D$16))+(F147*'5.Closing Stock &amp; W Capital'!$D$16))*$C199*I$154</f>
        <v>0</v>
      </c>
      <c r="J199" s="200">
        <f>((H147*(1-'5.Closing Stock &amp; W Capital'!$D$16))+(G147*'5.Closing Stock &amp; W Capital'!$D$16))*$C199*J$154</f>
        <v>0</v>
      </c>
      <c r="K199" s="94"/>
      <c r="L199" s="94"/>
    </row>
    <row r="200" spans="1:12">
      <c r="A200" s="97" t="str">
        <f t="shared" si="28"/>
        <v>Custard Apple</v>
      </c>
      <c r="B200" s="95" t="s">
        <v>320</v>
      </c>
      <c r="C200" s="260"/>
      <c r="D200" s="200">
        <f>(B148*(1-'5.Closing Stock &amp; W Capital'!$D$16))*$C200*D$154</f>
        <v>0</v>
      </c>
      <c r="E200" s="200">
        <f>((C148*(1-'5.Closing Stock &amp; W Capital'!$D$16))+(B148*'5.Closing Stock &amp; W Capital'!$D$16))*$C200*E$154</f>
        <v>0</v>
      </c>
      <c r="F200" s="200">
        <f>((D148*(1-'5.Closing Stock &amp; W Capital'!$D$16))+(C148*'5.Closing Stock &amp; W Capital'!$D$16))*$C200*F$154</f>
        <v>0</v>
      </c>
      <c r="G200" s="200">
        <f>((E148*(1-'5.Closing Stock &amp; W Capital'!$D$16))+(D148*'5.Closing Stock &amp; W Capital'!$D$16))*$C200*G$154</f>
        <v>0</v>
      </c>
      <c r="H200" s="200">
        <f>((F148*(1-'5.Closing Stock &amp; W Capital'!$D$16))+(E148*'5.Closing Stock &amp; W Capital'!$D$16))*$C200*H$154</f>
        <v>0</v>
      </c>
      <c r="I200" s="200">
        <f>((G148*(1-'5.Closing Stock &amp; W Capital'!$D$16))+(F148*'5.Closing Stock &amp; W Capital'!$D$16))*$C200*I$154</f>
        <v>0</v>
      </c>
      <c r="J200" s="200">
        <f>((H148*(1-'5.Closing Stock &amp; W Capital'!$D$16))+(G148*'5.Closing Stock &amp; W Capital'!$D$16))*$C200*J$154</f>
        <v>0</v>
      </c>
      <c r="K200" s="94"/>
      <c r="L200" s="94"/>
    </row>
    <row r="201" spans="1:12">
      <c r="A201" s="97" t="str">
        <f t="shared" si="28"/>
        <v>Guava</v>
      </c>
      <c r="B201" s="95" t="s">
        <v>320</v>
      </c>
      <c r="C201" s="260"/>
      <c r="D201" s="200">
        <f>(B149*(1-'5.Closing Stock &amp; W Capital'!$D$16))*$C201*D$154</f>
        <v>0</v>
      </c>
      <c r="E201" s="200">
        <f>((C149*(1-'5.Closing Stock &amp; W Capital'!$D$16))+(B149*'5.Closing Stock &amp; W Capital'!$D$16))*$C201*E$154</f>
        <v>0</v>
      </c>
      <c r="F201" s="200">
        <f>((D149*(1-'5.Closing Stock &amp; W Capital'!$D$16))+(C149*'5.Closing Stock &amp; W Capital'!$D$16))*$C201*F$154</f>
        <v>0</v>
      </c>
      <c r="G201" s="200">
        <f>((E149*(1-'5.Closing Stock &amp; W Capital'!$D$16))+(D149*'5.Closing Stock &amp; W Capital'!$D$16))*$C201*G$154</f>
        <v>0</v>
      </c>
      <c r="H201" s="200">
        <f>((F149*(1-'5.Closing Stock &amp; W Capital'!$D$16))+(E149*'5.Closing Stock &amp; W Capital'!$D$16))*$C201*H$154</f>
        <v>0</v>
      </c>
      <c r="I201" s="200">
        <f>((G149*(1-'5.Closing Stock &amp; W Capital'!$D$16))+(F149*'5.Closing Stock &amp; W Capital'!$D$16))*$C201*I$154</f>
        <v>0</v>
      </c>
      <c r="J201" s="200">
        <f>((H149*(1-'5.Closing Stock &amp; W Capital'!$D$16))+(G149*'5.Closing Stock &amp; W Capital'!$D$16))*$C201*J$154</f>
        <v>0</v>
      </c>
      <c r="K201" s="94"/>
      <c r="L201" s="94"/>
    </row>
    <row r="202" spans="1:12">
      <c r="A202" s="97">
        <f t="shared" si="28"/>
        <v>0</v>
      </c>
      <c r="B202" s="95" t="s">
        <v>320</v>
      </c>
      <c r="C202" s="260"/>
      <c r="D202" s="200">
        <f>(B150*(1-'5.Closing Stock &amp; W Capital'!$D$16))*$C202*D$154</f>
        <v>0</v>
      </c>
      <c r="E202" s="200">
        <f>((C150*(1-'5.Closing Stock &amp; W Capital'!$D$16))+(B150*'5.Closing Stock &amp; W Capital'!$D$16))*$C202*E$154</f>
        <v>0</v>
      </c>
      <c r="F202" s="200">
        <f>((D150*(1-'5.Closing Stock &amp; W Capital'!$D$16))+(C150*'5.Closing Stock &amp; W Capital'!$D$16))*$C202*F$154</f>
        <v>0</v>
      </c>
      <c r="G202" s="200">
        <f>((E150*(1-'5.Closing Stock &amp; W Capital'!$D$16))+(D150*'5.Closing Stock &amp; W Capital'!$D$16))*$C202*G$154</f>
        <v>0</v>
      </c>
      <c r="H202" s="200">
        <f>((F150*(1-'5.Closing Stock &amp; W Capital'!$D$16))+(E150*'5.Closing Stock &amp; W Capital'!$D$16))*$C202*H$154</f>
        <v>0</v>
      </c>
      <c r="I202" s="200">
        <f>((G150*(1-'5.Closing Stock &amp; W Capital'!$D$16))+(F150*'5.Closing Stock &amp; W Capital'!$D$16))*$C202*I$154</f>
        <v>0</v>
      </c>
      <c r="J202" s="200">
        <f>((H150*(1-'5.Closing Stock &amp; W Capital'!$D$16))+(G150*'5.Closing Stock &amp; W Capital'!$D$16))*$C202*J$154</f>
        <v>0</v>
      </c>
      <c r="K202" s="94"/>
      <c r="L202" s="94"/>
    </row>
    <row r="203" spans="1:12">
      <c r="A203" s="97"/>
      <c r="B203" s="97"/>
      <c r="C203" s="97"/>
      <c r="D203" s="95"/>
      <c r="E203" s="95"/>
      <c r="F203" s="95"/>
      <c r="G203" s="95"/>
      <c r="H203" s="95"/>
      <c r="I203" s="95"/>
      <c r="J203" s="95"/>
      <c r="K203" s="94"/>
      <c r="L203" s="94"/>
    </row>
    <row r="204" spans="1:12">
      <c r="A204" s="97" t="s">
        <v>108</v>
      </c>
      <c r="B204" s="97"/>
      <c r="C204" s="97"/>
      <c r="D204" s="202">
        <f t="shared" ref="D204:J204" si="29">SUM(D160:D203)</f>
        <v>0</v>
      </c>
      <c r="E204" s="202">
        <f t="shared" si="29"/>
        <v>0</v>
      </c>
      <c r="F204" s="202">
        <f t="shared" si="29"/>
        <v>0</v>
      </c>
      <c r="G204" s="202">
        <f t="shared" si="29"/>
        <v>0</v>
      </c>
      <c r="H204" s="202">
        <f t="shared" si="29"/>
        <v>0</v>
      </c>
      <c r="I204" s="202">
        <f t="shared" si="29"/>
        <v>0</v>
      </c>
      <c r="J204" s="202">
        <f t="shared" si="29"/>
        <v>0</v>
      </c>
      <c r="K204" s="94"/>
      <c r="L204" s="94"/>
    </row>
    <row r="205" spans="1:12">
      <c r="A205" s="95"/>
      <c r="B205" s="95"/>
      <c r="C205" s="95"/>
      <c r="D205" s="95"/>
      <c r="E205" s="95"/>
      <c r="F205" s="95"/>
      <c r="G205" s="95"/>
      <c r="H205" s="95"/>
      <c r="I205" s="95"/>
      <c r="J205" s="95"/>
      <c r="K205" s="94"/>
      <c r="L205" s="94"/>
    </row>
    <row r="206" spans="1:12">
      <c r="A206" s="97" t="s">
        <v>107</v>
      </c>
      <c r="B206" s="97"/>
      <c r="C206" s="97"/>
      <c r="D206" s="95"/>
      <c r="E206" s="95"/>
      <c r="F206" s="95"/>
      <c r="G206" s="95"/>
      <c r="H206" s="95"/>
      <c r="I206" s="95"/>
      <c r="J206" s="95"/>
      <c r="K206" s="94"/>
      <c r="L206" s="94"/>
    </row>
    <row r="207" spans="1:12">
      <c r="A207" s="97" t="s">
        <v>266</v>
      </c>
      <c r="B207" s="97"/>
      <c r="C207" s="95"/>
      <c r="D207" s="95"/>
      <c r="E207" s="95"/>
      <c r="F207" s="95"/>
      <c r="G207" s="95"/>
      <c r="H207" s="95"/>
      <c r="I207" s="95"/>
      <c r="J207" s="95"/>
      <c r="K207" s="94"/>
      <c r="L207" s="94"/>
    </row>
    <row r="208" spans="1:12">
      <c r="A208" s="95" t="str">
        <f t="shared" ref="A208:A229" si="30">A160</f>
        <v>Soybean</v>
      </c>
      <c r="B208" s="95" t="s">
        <v>320</v>
      </c>
      <c r="C208" s="256">
        <v>3800</v>
      </c>
      <c r="D208" s="96">
        <f>B63*$C$208*D$154</f>
        <v>0</v>
      </c>
      <c r="E208" s="96">
        <f>C63*$C$208*E$154</f>
        <v>0</v>
      </c>
      <c r="F208" s="96">
        <f>D63*$C$208*F154</f>
        <v>0</v>
      </c>
      <c r="G208" s="96">
        <f>E63*$C$208*G154</f>
        <v>0</v>
      </c>
      <c r="H208" s="96">
        <f>F63*$C$208*H154</f>
        <v>0</v>
      </c>
      <c r="I208" s="96">
        <f>G63*$C$208*I154</f>
        <v>0</v>
      </c>
      <c r="J208" s="96">
        <f>H63*$C$208*J154</f>
        <v>0</v>
      </c>
      <c r="K208" s="94"/>
      <c r="L208" s="94"/>
    </row>
    <row r="209" spans="1:12">
      <c r="A209" s="95" t="str">
        <f t="shared" si="30"/>
        <v>Red Gram/Tur</v>
      </c>
      <c r="B209" s="95" t="s">
        <v>320</v>
      </c>
      <c r="C209" s="256">
        <v>5800</v>
      </c>
      <c r="D209" s="96">
        <f>B64*$C$209*D$154</f>
        <v>0</v>
      </c>
      <c r="E209" s="96">
        <f t="shared" ref="E209:J209" si="31">C64*$C$209*E154</f>
        <v>0</v>
      </c>
      <c r="F209" s="96">
        <f t="shared" si="31"/>
        <v>0</v>
      </c>
      <c r="G209" s="96">
        <f t="shared" si="31"/>
        <v>0</v>
      </c>
      <c r="H209" s="96">
        <f t="shared" si="31"/>
        <v>0</v>
      </c>
      <c r="I209" s="96">
        <f t="shared" si="31"/>
        <v>0</v>
      </c>
      <c r="J209" s="96">
        <f t="shared" si="31"/>
        <v>0</v>
      </c>
      <c r="K209" s="94"/>
      <c r="L209" s="94"/>
    </row>
    <row r="210" spans="1:12">
      <c r="A210" s="95" t="str">
        <f t="shared" si="30"/>
        <v>Paddy/Rice</v>
      </c>
      <c r="B210" s="95" t="s">
        <v>320</v>
      </c>
      <c r="C210" s="256"/>
      <c r="D210" s="96">
        <f>B65*$C$210*D$154</f>
        <v>0</v>
      </c>
      <c r="E210" s="96">
        <f t="shared" ref="E210:J210" si="32">C65*$C$210*E154</f>
        <v>0</v>
      </c>
      <c r="F210" s="96">
        <f t="shared" si="32"/>
        <v>0</v>
      </c>
      <c r="G210" s="96">
        <f t="shared" si="32"/>
        <v>0</v>
      </c>
      <c r="H210" s="96">
        <f t="shared" si="32"/>
        <v>0</v>
      </c>
      <c r="I210" s="96">
        <f t="shared" si="32"/>
        <v>0</v>
      </c>
      <c r="J210" s="96">
        <f t="shared" si="32"/>
        <v>0</v>
      </c>
      <c r="K210" s="94"/>
      <c r="L210" s="94"/>
    </row>
    <row r="211" spans="1:12">
      <c r="A211" s="95" t="str">
        <f t="shared" si="30"/>
        <v>Green Gram/ Moong</v>
      </c>
      <c r="B211" s="95" t="s">
        <v>320</v>
      </c>
      <c r="C211" s="256">
        <v>5800</v>
      </c>
      <c r="D211" s="96">
        <f t="shared" ref="D211:J211" si="33">B66*$C$211*D$154</f>
        <v>0</v>
      </c>
      <c r="E211" s="96">
        <f t="shared" si="33"/>
        <v>0</v>
      </c>
      <c r="F211" s="96">
        <f t="shared" si="33"/>
        <v>0</v>
      </c>
      <c r="G211" s="96">
        <f t="shared" si="33"/>
        <v>0</v>
      </c>
      <c r="H211" s="96">
        <f t="shared" si="33"/>
        <v>0</v>
      </c>
      <c r="I211" s="96">
        <f t="shared" si="33"/>
        <v>0</v>
      </c>
      <c r="J211" s="96">
        <f t="shared" si="33"/>
        <v>0</v>
      </c>
      <c r="K211" s="94"/>
      <c r="L211" s="94"/>
    </row>
    <row r="212" spans="1:12">
      <c r="A212" s="95" t="str">
        <f t="shared" si="30"/>
        <v>Maize</v>
      </c>
      <c r="B212" s="95" t="s">
        <v>320</v>
      </c>
      <c r="C212" s="256"/>
      <c r="D212" s="96">
        <f t="shared" ref="D212:J212" si="34">B67*$C$212*D$154</f>
        <v>0</v>
      </c>
      <c r="E212" s="96">
        <f t="shared" si="34"/>
        <v>0</v>
      </c>
      <c r="F212" s="96">
        <f t="shared" si="34"/>
        <v>0</v>
      </c>
      <c r="G212" s="96">
        <f t="shared" si="34"/>
        <v>0</v>
      </c>
      <c r="H212" s="96">
        <f t="shared" si="34"/>
        <v>0</v>
      </c>
      <c r="I212" s="96">
        <f t="shared" si="34"/>
        <v>0</v>
      </c>
      <c r="J212" s="96">
        <f t="shared" si="34"/>
        <v>0</v>
      </c>
      <c r="K212" s="94"/>
      <c r="L212" s="94"/>
    </row>
    <row r="213" spans="1:12">
      <c r="A213" s="95" t="str">
        <f t="shared" si="30"/>
        <v>Black Gram/Udid</v>
      </c>
      <c r="B213" s="95" t="s">
        <v>320</v>
      </c>
      <c r="C213" s="256">
        <v>6300</v>
      </c>
      <c r="D213" s="96">
        <f t="shared" ref="D213:J213" si="35">B68*$C$213*D$154</f>
        <v>0</v>
      </c>
      <c r="E213" s="96">
        <f t="shared" si="35"/>
        <v>0</v>
      </c>
      <c r="F213" s="96">
        <f t="shared" si="35"/>
        <v>0</v>
      </c>
      <c r="G213" s="96">
        <f t="shared" si="35"/>
        <v>0</v>
      </c>
      <c r="H213" s="96">
        <f t="shared" si="35"/>
        <v>0</v>
      </c>
      <c r="I213" s="96">
        <f t="shared" si="35"/>
        <v>0</v>
      </c>
      <c r="J213" s="96">
        <f t="shared" si="35"/>
        <v>0</v>
      </c>
      <c r="K213" s="94"/>
      <c r="L213" s="94"/>
    </row>
    <row r="214" spans="1:12">
      <c r="A214" s="95" t="str">
        <f t="shared" si="30"/>
        <v>Bajra</v>
      </c>
      <c r="B214" s="95" t="s">
        <v>320</v>
      </c>
      <c r="C214" s="256">
        <v>1800</v>
      </c>
      <c r="D214" s="96">
        <f t="shared" ref="D214:J214" si="36">B69*$C$214*D$154</f>
        <v>0</v>
      </c>
      <c r="E214" s="96">
        <f t="shared" si="36"/>
        <v>0</v>
      </c>
      <c r="F214" s="96">
        <f t="shared" si="36"/>
        <v>0</v>
      </c>
      <c r="G214" s="96">
        <f t="shared" si="36"/>
        <v>0</v>
      </c>
      <c r="H214" s="96">
        <f t="shared" si="36"/>
        <v>0</v>
      </c>
      <c r="I214" s="96">
        <f t="shared" si="36"/>
        <v>0</v>
      </c>
      <c r="J214" s="96">
        <f t="shared" si="36"/>
        <v>0</v>
      </c>
      <c r="K214" s="94"/>
      <c r="L214" s="94"/>
    </row>
    <row r="215" spans="1:12">
      <c r="A215" s="95" t="str">
        <f t="shared" si="30"/>
        <v>Jawar</v>
      </c>
      <c r="B215" s="95" t="s">
        <v>320</v>
      </c>
      <c r="C215" s="256"/>
      <c r="D215" s="96">
        <f t="shared" ref="D215:J215" si="37">B70*$C$215*D$154</f>
        <v>0</v>
      </c>
      <c r="E215" s="96">
        <f t="shared" si="37"/>
        <v>0</v>
      </c>
      <c r="F215" s="96">
        <f t="shared" si="37"/>
        <v>0</v>
      </c>
      <c r="G215" s="96">
        <f t="shared" si="37"/>
        <v>0</v>
      </c>
      <c r="H215" s="96">
        <f t="shared" si="37"/>
        <v>0</v>
      </c>
      <c r="I215" s="96">
        <f t="shared" si="37"/>
        <v>0</v>
      </c>
      <c r="J215" s="96">
        <f t="shared" si="37"/>
        <v>0</v>
      </c>
      <c r="K215" s="94"/>
      <c r="L215" s="94"/>
    </row>
    <row r="216" spans="1:12">
      <c r="A216" s="95" t="str">
        <f t="shared" si="30"/>
        <v>Sunflower</v>
      </c>
      <c r="B216" s="95" t="s">
        <v>320</v>
      </c>
      <c r="C216" s="256"/>
      <c r="D216" s="96">
        <f t="shared" ref="D216:J216" si="38">B71*$C$216*D$154</f>
        <v>0</v>
      </c>
      <c r="E216" s="96">
        <f t="shared" si="38"/>
        <v>0</v>
      </c>
      <c r="F216" s="96">
        <f t="shared" si="38"/>
        <v>0</v>
      </c>
      <c r="G216" s="96">
        <f t="shared" si="38"/>
        <v>0</v>
      </c>
      <c r="H216" s="96">
        <f t="shared" si="38"/>
        <v>0</v>
      </c>
      <c r="I216" s="96">
        <f t="shared" si="38"/>
        <v>0</v>
      </c>
      <c r="J216" s="96">
        <f t="shared" si="38"/>
        <v>0</v>
      </c>
      <c r="K216" s="94"/>
      <c r="L216" s="94"/>
    </row>
    <row r="217" spans="1:12">
      <c r="A217" s="95" t="str">
        <f t="shared" si="30"/>
        <v>Wheat</v>
      </c>
      <c r="B217" s="95" t="s">
        <v>320</v>
      </c>
      <c r="C217" s="256"/>
      <c r="D217" s="96">
        <f t="shared" ref="D217:J217" si="39">B72*$C$217*D$154</f>
        <v>0</v>
      </c>
      <c r="E217" s="96">
        <f t="shared" si="39"/>
        <v>0</v>
      </c>
      <c r="F217" s="96">
        <f t="shared" si="39"/>
        <v>0</v>
      </c>
      <c r="G217" s="96">
        <f t="shared" si="39"/>
        <v>0</v>
      </c>
      <c r="H217" s="96">
        <f t="shared" si="39"/>
        <v>0</v>
      </c>
      <c r="I217" s="96">
        <f t="shared" si="39"/>
        <v>0</v>
      </c>
      <c r="J217" s="96">
        <f t="shared" si="39"/>
        <v>0</v>
      </c>
      <c r="K217" s="94"/>
      <c r="L217" s="94"/>
    </row>
    <row r="218" spans="1:12">
      <c r="A218" s="95" t="str">
        <f t="shared" si="30"/>
        <v>Bengal Gram/Channa</v>
      </c>
      <c r="B218" s="95" t="s">
        <v>320</v>
      </c>
      <c r="C218" s="256">
        <v>4800</v>
      </c>
      <c r="D218" s="96">
        <f t="shared" ref="D218:J218" si="40">B73*$C$218*D$154</f>
        <v>0</v>
      </c>
      <c r="E218" s="96">
        <f t="shared" si="40"/>
        <v>0</v>
      </c>
      <c r="F218" s="96">
        <f t="shared" si="40"/>
        <v>0</v>
      </c>
      <c r="G218" s="96">
        <f t="shared" si="40"/>
        <v>0</v>
      </c>
      <c r="H218" s="96">
        <f t="shared" si="40"/>
        <v>0</v>
      </c>
      <c r="I218" s="96">
        <f t="shared" si="40"/>
        <v>0</v>
      </c>
      <c r="J218" s="96">
        <f t="shared" si="40"/>
        <v>0</v>
      </c>
      <c r="K218" s="94"/>
      <c r="L218" s="94"/>
    </row>
    <row r="219" spans="1:12">
      <c r="A219" s="95" t="str">
        <f t="shared" si="30"/>
        <v>Jawar</v>
      </c>
      <c r="B219" s="95" t="s">
        <v>320</v>
      </c>
      <c r="C219" s="256"/>
      <c r="D219" s="96">
        <f t="shared" ref="D219:J219" si="41">B74*$C$219*D$154</f>
        <v>0</v>
      </c>
      <c r="E219" s="96">
        <f t="shared" si="41"/>
        <v>0</v>
      </c>
      <c r="F219" s="96">
        <f t="shared" si="41"/>
        <v>0</v>
      </c>
      <c r="G219" s="96">
        <f t="shared" si="41"/>
        <v>0</v>
      </c>
      <c r="H219" s="96">
        <f t="shared" si="41"/>
        <v>0</v>
      </c>
      <c r="I219" s="96">
        <f t="shared" si="41"/>
        <v>0</v>
      </c>
      <c r="J219" s="96">
        <f t="shared" si="41"/>
        <v>0</v>
      </c>
      <c r="K219" s="94"/>
      <c r="L219" s="94"/>
    </row>
    <row r="220" spans="1:12">
      <c r="A220" s="95" t="str">
        <f t="shared" si="30"/>
        <v>Maize</v>
      </c>
      <c r="B220" s="95" t="s">
        <v>320</v>
      </c>
      <c r="C220" s="256"/>
      <c r="D220" s="96">
        <f t="shared" ref="D220:J220" si="42">B75*$C$220*D$154</f>
        <v>0</v>
      </c>
      <c r="E220" s="96">
        <f t="shared" si="42"/>
        <v>0</v>
      </c>
      <c r="F220" s="96">
        <f t="shared" si="42"/>
        <v>0</v>
      </c>
      <c r="G220" s="96">
        <f t="shared" si="42"/>
        <v>0</v>
      </c>
      <c r="H220" s="96">
        <f t="shared" si="42"/>
        <v>0</v>
      </c>
      <c r="I220" s="96">
        <f t="shared" si="42"/>
        <v>0</v>
      </c>
      <c r="J220" s="96">
        <f t="shared" si="42"/>
        <v>0</v>
      </c>
      <c r="K220" s="94"/>
      <c r="L220" s="94"/>
    </row>
    <row r="221" spans="1:12">
      <c r="A221" s="95" t="str">
        <f t="shared" si="30"/>
        <v>Safflower</v>
      </c>
      <c r="B221" s="95" t="s">
        <v>320</v>
      </c>
      <c r="C221" s="256"/>
      <c r="D221" s="96">
        <f t="shared" ref="D221:J221" si="43">B76*$C$221*D$154</f>
        <v>0</v>
      </c>
      <c r="E221" s="96">
        <f t="shared" si="43"/>
        <v>0</v>
      </c>
      <c r="F221" s="96">
        <f t="shared" si="43"/>
        <v>0</v>
      </c>
      <c r="G221" s="96">
        <f t="shared" si="43"/>
        <v>0</v>
      </c>
      <c r="H221" s="96">
        <f t="shared" si="43"/>
        <v>0</v>
      </c>
      <c r="I221" s="96">
        <f t="shared" si="43"/>
        <v>0</v>
      </c>
      <c r="J221" s="96">
        <f t="shared" si="43"/>
        <v>0</v>
      </c>
      <c r="K221" s="94"/>
      <c r="L221" s="94"/>
    </row>
    <row r="222" spans="1:12">
      <c r="A222" s="95">
        <f t="shared" si="30"/>
        <v>0</v>
      </c>
      <c r="B222" s="95" t="s">
        <v>320</v>
      </c>
      <c r="C222" s="256"/>
      <c r="D222" s="96">
        <f t="shared" ref="D222:J222" si="44">B77*$C$222*D$154</f>
        <v>0</v>
      </c>
      <c r="E222" s="96">
        <f t="shared" si="44"/>
        <v>0</v>
      </c>
      <c r="F222" s="96">
        <f t="shared" si="44"/>
        <v>0</v>
      </c>
      <c r="G222" s="96">
        <f t="shared" si="44"/>
        <v>0</v>
      </c>
      <c r="H222" s="96">
        <f t="shared" si="44"/>
        <v>0</v>
      </c>
      <c r="I222" s="96">
        <f t="shared" si="44"/>
        <v>0</v>
      </c>
      <c r="J222" s="96">
        <f t="shared" si="44"/>
        <v>0</v>
      </c>
      <c r="K222" s="94"/>
      <c r="L222" s="94"/>
    </row>
    <row r="223" spans="1:12">
      <c r="A223" s="95">
        <f t="shared" si="30"/>
        <v>0</v>
      </c>
      <c r="B223" s="95" t="s">
        <v>320</v>
      </c>
      <c r="C223" s="256"/>
      <c r="D223" s="96">
        <f t="shared" ref="D223:J223" si="45">B78*$C$223*D$154</f>
        <v>0</v>
      </c>
      <c r="E223" s="96">
        <f t="shared" si="45"/>
        <v>0</v>
      </c>
      <c r="F223" s="96">
        <f t="shared" si="45"/>
        <v>0</v>
      </c>
      <c r="G223" s="96">
        <f t="shared" si="45"/>
        <v>0</v>
      </c>
      <c r="H223" s="96">
        <f t="shared" si="45"/>
        <v>0</v>
      </c>
      <c r="I223" s="96">
        <f t="shared" si="45"/>
        <v>0</v>
      </c>
      <c r="J223" s="96">
        <f t="shared" si="45"/>
        <v>0</v>
      </c>
      <c r="K223" s="94"/>
      <c r="L223" s="94"/>
    </row>
    <row r="224" spans="1:12">
      <c r="A224" s="95">
        <f t="shared" si="30"/>
        <v>0</v>
      </c>
      <c r="B224" s="95" t="s">
        <v>320</v>
      </c>
      <c r="C224" s="256"/>
      <c r="D224" s="96">
        <f t="shared" ref="D224:J230" si="46">B79*$C224*D$154</f>
        <v>0</v>
      </c>
      <c r="E224" s="96">
        <f t="shared" si="46"/>
        <v>0</v>
      </c>
      <c r="F224" s="96">
        <f t="shared" si="46"/>
        <v>0</v>
      </c>
      <c r="G224" s="96">
        <f t="shared" si="46"/>
        <v>0</v>
      </c>
      <c r="H224" s="96">
        <f t="shared" si="46"/>
        <v>0</v>
      </c>
      <c r="I224" s="96">
        <f t="shared" si="46"/>
        <v>0</v>
      </c>
      <c r="J224" s="96">
        <f t="shared" si="46"/>
        <v>0</v>
      </c>
      <c r="K224" s="94"/>
      <c r="L224" s="94"/>
    </row>
    <row r="225" spans="1:12">
      <c r="A225" s="95" t="str">
        <f t="shared" si="30"/>
        <v>Groundnut</v>
      </c>
      <c r="B225" s="95" t="s">
        <v>320</v>
      </c>
      <c r="C225" s="256"/>
      <c r="D225" s="96">
        <f t="shared" si="46"/>
        <v>0</v>
      </c>
      <c r="E225" s="96">
        <f t="shared" si="46"/>
        <v>0</v>
      </c>
      <c r="F225" s="96">
        <f t="shared" si="46"/>
        <v>0</v>
      </c>
      <c r="G225" s="96">
        <f t="shared" si="46"/>
        <v>0</v>
      </c>
      <c r="H225" s="96">
        <f t="shared" si="46"/>
        <v>0</v>
      </c>
      <c r="I225" s="96">
        <f t="shared" si="46"/>
        <v>0</v>
      </c>
      <c r="J225" s="96">
        <f t="shared" si="46"/>
        <v>0</v>
      </c>
      <c r="K225" s="94"/>
      <c r="L225" s="94"/>
    </row>
    <row r="226" spans="1:12">
      <c r="A226" s="95">
        <f t="shared" si="30"/>
        <v>0</v>
      </c>
      <c r="B226" s="95" t="s">
        <v>320</v>
      </c>
      <c r="C226" s="256"/>
      <c r="D226" s="96">
        <f t="shared" si="46"/>
        <v>0</v>
      </c>
      <c r="E226" s="96">
        <f t="shared" si="46"/>
        <v>0</v>
      </c>
      <c r="F226" s="96">
        <f t="shared" si="46"/>
        <v>0</v>
      </c>
      <c r="G226" s="96">
        <f t="shared" si="46"/>
        <v>0</v>
      </c>
      <c r="H226" s="96">
        <f t="shared" si="46"/>
        <v>0</v>
      </c>
      <c r="I226" s="96">
        <f t="shared" si="46"/>
        <v>0</v>
      </c>
      <c r="J226" s="96">
        <f t="shared" si="46"/>
        <v>0</v>
      </c>
      <c r="K226" s="94"/>
      <c r="L226" s="94"/>
    </row>
    <row r="227" spans="1:12">
      <c r="A227" s="95">
        <f t="shared" si="30"/>
        <v>0</v>
      </c>
      <c r="B227" s="95" t="s">
        <v>320</v>
      </c>
      <c r="C227" s="256"/>
      <c r="D227" s="96">
        <f t="shared" si="46"/>
        <v>0</v>
      </c>
      <c r="E227" s="96">
        <f t="shared" si="46"/>
        <v>0</v>
      </c>
      <c r="F227" s="96">
        <f t="shared" si="46"/>
        <v>0</v>
      </c>
      <c r="G227" s="96">
        <f t="shared" si="46"/>
        <v>0</v>
      </c>
      <c r="H227" s="96">
        <f t="shared" si="46"/>
        <v>0</v>
      </c>
      <c r="I227" s="96">
        <f t="shared" si="46"/>
        <v>0</v>
      </c>
      <c r="J227" s="96">
        <f t="shared" si="46"/>
        <v>0</v>
      </c>
      <c r="K227" s="94"/>
      <c r="L227" s="94"/>
    </row>
    <row r="228" spans="1:12">
      <c r="A228" s="95">
        <f t="shared" si="30"/>
        <v>0</v>
      </c>
      <c r="B228" s="95" t="s">
        <v>320</v>
      </c>
      <c r="C228" s="256"/>
      <c r="D228" s="96">
        <f t="shared" si="46"/>
        <v>0</v>
      </c>
      <c r="E228" s="96">
        <f t="shared" si="46"/>
        <v>0</v>
      </c>
      <c r="F228" s="96">
        <f t="shared" si="46"/>
        <v>0</v>
      </c>
      <c r="G228" s="96">
        <f t="shared" si="46"/>
        <v>0</v>
      </c>
      <c r="H228" s="96">
        <f t="shared" si="46"/>
        <v>0</v>
      </c>
      <c r="I228" s="96">
        <f t="shared" si="46"/>
        <v>0</v>
      </c>
      <c r="J228" s="96">
        <f t="shared" si="46"/>
        <v>0</v>
      </c>
      <c r="K228" s="94"/>
      <c r="L228" s="94"/>
    </row>
    <row r="229" spans="1:12">
      <c r="A229" s="95">
        <f t="shared" si="30"/>
        <v>0</v>
      </c>
      <c r="B229" s="95" t="s">
        <v>320</v>
      </c>
      <c r="C229" s="256"/>
      <c r="D229" s="96">
        <f t="shared" si="46"/>
        <v>0</v>
      </c>
      <c r="E229" s="96">
        <f t="shared" si="46"/>
        <v>0</v>
      </c>
      <c r="F229" s="96">
        <f t="shared" si="46"/>
        <v>0</v>
      </c>
      <c r="G229" s="96">
        <f t="shared" si="46"/>
        <v>0</v>
      </c>
      <c r="H229" s="96">
        <f t="shared" si="46"/>
        <v>0</v>
      </c>
      <c r="I229" s="96">
        <f t="shared" si="46"/>
        <v>0</v>
      </c>
      <c r="J229" s="96">
        <f t="shared" si="46"/>
        <v>0</v>
      </c>
      <c r="K229" s="94"/>
      <c r="L229" s="94"/>
    </row>
    <row r="230" spans="1:12">
      <c r="A230" s="95">
        <f t="shared" ref="A230:A244" si="47">A183</f>
        <v>0</v>
      </c>
      <c r="B230" s="95"/>
      <c r="C230" s="256"/>
      <c r="D230" s="96">
        <f t="shared" si="46"/>
        <v>0</v>
      </c>
      <c r="E230" s="96">
        <f t="shared" si="46"/>
        <v>0</v>
      </c>
      <c r="F230" s="96">
        <f t="shared" si="46"/>
        <v>0</v>
      </c>
      <c r="G230" s="96">
        <f t="shared" si="46"/>
        <v>0</v>
      </c>
      <c r="H230" s="96">
        <f t="shared" si="46"/>
        <v>0</v>
      </c>
      <c r="I230" s="96">
        <f t="shared" si="46"/>
        <v>0</v>
      </c>
      <c r="J230" s="96">
        <f t="shared" si="46"/>
        <v>0</v>
      </c>
      <c r="K230" s="94"/>
      <c r="L230" s="94"/>
    </row>
    <row r="231" spans="1:12">
      <c r="A231" s="97" t="str">
        <f t="shared" si="47"/>
        <v>Fruit  &amp; Vegetables Crop Production Details</v>
      </c>
      <c r="B231" s="95"/>
      <c r="C231" s="256"/>
      <c r="D231" s="96"/>
      <c r="E231" s="96"/>
      <c r="F231" s="96"/>
      <c r="G231" s="96"/>
      <c r="H231" s="96"/>
      <c r="I231" s="96"/>
      <c r="J231" s="96"/>
      <c r="K231" s="94"/>
      <c r="L231" s="94"/>
    </row>
    <row r="232" spans="1:12">
      <c r="A232" s="95" t="str">
        <f t="shared" si="47"/>
        <v>Mango</v>
      </c>
      <c r="B232" s="95" t="s">
        <v>320</v>
      </c>
      <c r="C232" s="256">
        <v>1800</v>
      </c>
      <c r="D232" s="96">
        <f t="shared" ref="D232:D244" si="48">B87*$C232*D$154</f>
        <v>0</v>
      </c>
      <c r="E232" s="96">
        <f t="shared" ref="E232:E244" si="49">C87*$C232*E$154</f>
        <v>0</v>
      </c>
      <c r="F232" s="96">
        <f t="shared" ref="F232:F244" si="50">D87*$C232*F$154</f>
        <v>0</v>
      </c>
      <c r="G232" s="96">
        <f t="shared" ref="G232:G244" si="51">E87*$C232*G$154</f>
        <v>0</v>
      </c>
      <c r="H232" s="96">
        <f t="shared" ref="H232:H244" si="52">F87*$C232*H$154</f>
        <v>0</v>
      </c>
      <c r="I232" s="96">
        <f t="shared" ref="I232:I244" si="53">G87*$C232*I$154</f>
        <v>0</v>
      </c>
      <c r="J232" s="96">
        <f t="shared" ref="J232:J244" si="54">H87*$C232*J$154</f>
        <v>0</v>
      </c>
      <c r="K232" s="94"/>
      <c r="L232" s="94"/>
    </row>
    <row r="233" spans="1:12">
      <c r="A233" s="95" t="str">
        <f t="shared" si="47"/>
        <v>Custard Apple</v>
      </c>
      <c r="B233" s="95" t="s">
        <v>320</v>
      </c>
      <c r="C233" s="256">
        <v>800</v>
      </c>
      <c r="D233" s="96">
        <f t="shared" si="48"/>
        <v>0</v>
      </c>
      <c r="E233" s="96">
        <f t="shared" si="49"/>
        <v>0</v>
      </c>
      <c r="F233" s="96">
        <f t="shared" si="50"/>
        <v>0</v>
      </c>
      <c r="G233" s="96">
        <f t="shared" si="51"/>
        <v>0</v>
      </c>
      <c r="H233" s="96">
        <f t="shared" si="52"/>
        <v>0</v>
      </c>
      <c r="I233" s="96">
        <f t="shared" si="53"/>
        <v>0</v>
      </c>
      <c r="J233" s="96">
        <f t="shared" si="54"/>
        <v>0</v>
      </c>
      <c r="K233" s="94"/>
      <c r="L233" s="94"/>
    </row>
    <row r="234" spans="1:12">
      <c r="A234" s="95" t="str">
        <f t="shared" si="47"/>
        <v>Guava</v>
      </c>
      <c r="B234" s="95" t="s">
        <v>320</v>
      </c>
      <c r="C234" s="256">
        <v>1300</v>
      </c>
      <c r="D234" s="96">
        <f t="shared" si="48"/>
        <v>0</v>
      </c>
      <c r="E234" s="96">
        <f t="shared" si="49"/>
        <v>0</v>
      </c>
      <c r="F234" s="96">
        <f t="shared" si="50"/>
        <v>0</v>
      </c>
      <c r="G234" s="96">
        <f t="shared" si="51"/>
        <v>0</v>
      </c>
      <c r="H234" s="96">
        <f t="shared" si="52"/>
        <v>0</v>
      </c>
      <c r="I234" s="96">
        <f t="shared" si="53"/>
        <v>0</v>
      </c>
      <c r="J234" s="96">
        <f t="shared" si="54"/>
        <v>0</v>
      </c>
      <c r="K234" s="94"/>
      <c r="L234" s="94"/>
    </row>
    <row r="235" spans="1:12">
      <c r="A235" s="95">
        <f t="shared" si="47"/>
        <v>0</v>
      </c>
      <c r="B235" s="95" t="s">
        <v>320</v>
      </c>
      <c r="C235" s="256">
        <v>2800</v>
      </c>
      <c r="D235" s="96">
        <f t="shared" si="48"/>
        <v>0</v>
      </c>
      <c r="E235" s="96">
        <f t="shared" si="49"/>
        <v>0</v>
      </c>
      <c r="F235" s="96">
        <f t="shared" si="50"/>
        <v>0</v>
      </c>
      <c r="G235" s="96">
        <f t="shared" si="51"/>
        <v>0</v>
      </c>
      <c r="H235" s="96">
        <f t="shared" si="52"/>
        <v>0</v>
      </c>
      <c r="I235" s="96">
        <f t="shared" si="53"/>
        <v>0</v>
      </c>
      <c r="J235" s="96">
        <f t="shared" si="54"/>
        <v>0</v>
      </c>
      <c r="K235" s="94"/>
      <c r="L235" s="94"/>
    </row>
    <row r="236" spans="1:12">
      <c r="A236" s="95">
        <f t="shared" si="47"/>
        <v>0</v>
      </c>
      <c r="B236" s="95" t="s">
        <v>320</v>
      </c>
      <c r="C236" s="256">
        <v>1300</v>
      </c>
      <c r="D236" s="96">
        <f t="shared" si="48"/>
        <v>0</v>
      </c>
      <c r="E236" s="96">
        <f t="shared" si="49"/>
        <v>0</v>
      </c>
      <c r="F236" s="96">
        <f t="shared" si="50"/>
        <v>0</v>
      </c>
      <c r="G236" s="96">
        <f t="shared" si="51"/>
        <v>0</v>
      </c>
      <c r="H236" s="96">
        <f t="shared" si="52"/>
        <v>0</v>
      </c>
      <c r="I236" s="96">
        <f t="shared" si="53"/>
        <v>0</v>
      </c>
      <c r="J236" s="96">
        <f t="shared" si="54"/>
        <v>0</v>
      </c>
      <c r="K236" s="94"/>
      <c r="L236" s="94"/>
    </row>
    <row r="237" spans="1:12">
      <c r="A237" s="95">
        <f t="shared" si="47"/>
        <v>0</v>
      </c>
      <c r="B237" s="95" t="s">
        <v>320</v>
      </c>
      <c r="C237" s="256"/>
      <c r="D237" s="96">
        <f t="shared" si="48"/>
        <v>0</v>
      </c>
      <c r="E237" s="96">
        <f t="shared" si="49"/>
        <v>0</v>
      </c>
      <c r="F237" s="96">
        <f t="shared" si="50"/>
        <v>0</v>
      </c>
      <c r="G237" s="96">
        <f t="shared" si="51"/>
        <v>0</v>
      </c>
      <c r="H237" s="96">
        <f t="shared" si="52"/>
        <v>0</v>
      </c>
      <c r="I237" s="96">
        <f t="shared" si="53"/>
        <v>0</v>
      </c>
      <c r="J237" s="96">
        <f t="shared" si="54"/>
        <v>0</v>
      </c>
      <c r="K237" s="94"/>
      <c r="L237" s="94"/>
    </row>
    <row r="238" spans="1:12">
      <c r="A238" s="95">
        <f t="shared" si="47"/>
        <v>0</v>
      </c>
      <c r="B238" s="95" t="s">
        <v>320</v>
      </c>
      <c r="C238" s="256"/>
      <c r="D238" s="96">
        <f t="shared" si="48"/>
        <v>0</v>
      </c>
      <c r="E238" s="96">
        <f t="shared" si="49"/>
        <v>0</v>
      </c>
      <c r="F238" s="96">
        <f t="shared" si="50"/>
        <v>0</v>
      </c>
      <c r="G238" s="96">
        <f t="shared" si="51"/>
        <v>0</v>
      </c>
      <c r="H238" s="96">
        <f t="shared" si="52"/>
        <v>0</v>
      </c>
      <c r="I238" s="96">
        <f t="shared" si="53"/>
        <v>0</v>
      </c>
      <c r="J238" s="96">
        <f t="shared" si="54"/>
        <v>0</v>
      </c>
      <c r="K238" s="94"/>
      <c r="L238" s="94"/>
    </row>
    <row r="239" spans="1:12">
      <c r="A239" s="95">
        <f t="shared" si="47"/>
        <v>0</v>
      </c>
      <c r="B239" s="95" t="s">
        <v>320</v>
      </c>
      <c r="C239" s="256"/>
      <c r="D239" s="96">
        <f t="shared" si="48"/>
        <v>0</v>
      </c>
      <c r="E239" s="96">
        <f t="shared" si="49"/>
        <v>0</v>
      </c>
      <c r="F239" s="96">
        <f t="shared" si="50"/>
        <v>0</v>
      </c>
      <c r="G239" s="96">
        <f t="shared" si="51"/>
        <v>0</v>
      </c>
      <c r="H239" s="96">
        <f t="shared" si="52"/>
        <v>0</v>
      </c>
      <c r="I239" s="96">
        <f t="shared" si="53"/>
        <v>0</v>
      </c>
      <c r="J239" s="96">
        <f t="shared" si="54"/>
        <v>0</v>
      </c>
      <c r="K239" s="94"/>
      <c r="L239" s="94"/>
    </row>
    <row r="240" spans="1:12">
      <c r="A240" s="95">
        <f t="shared" si="47"/>
        <v>0</v>
      </c>
      <c r="B240" s="95" t="s">
        <v>320</v>
      </c>
      <c r="C240" s="256"/>
      <c r="D240" s="96">
        <f t="shared" si="48"/>
        <v>0</v>
      </c>
      <c r="E240" s="96">
        <f t="shared" si="49"/>
        <v>0</v>
      </c>
      <c r="F240" s="96">
        <f t="shared" si="50"/>
        <v>0</v>
      </c>
      <c r="G240" s="96">
        <f t="shared" si="51"/>
        <v>0</v>
      </c>
      <c r="H240" s="96">
        <f t="shared" si="52"/>
        <v>0</v>
      </c>
      <c r="I240" s="96">
        <f t="shared" si="53"/>
        <v>0</v>
      </c>
      <c r="J240" s="96">
        <f t="shared" si="54"/>
        <v>0</v>
      </c>
      <c r="K240" s="94"/>
      <c r="L240" s="94"/>
    </row>
    <row r="241" spans="1:16">
      <c r="A241" s="95" t="str">
        <f t="shared" si="47"/>
        <v>Mango</v>
      </c>
      <c r="B241" s="95" t="s">
        <v>320</v>
      </c>
      <c r="C241" s="256">
        <v>1800</v>
      </c>
      <c r="D241" s="96">
        <f t="shared" si="48"/>
        <v>0</v>
      </c>
      <c r="E241" s="96">
        <f t="shared" si="49"/>
        <v>0</v>
      </c>
      <c r="F241" s="96">
        <f t="shared" si="50"/>
        <v>0</v>
      </c>
      <c r="G241" s="96">
        <f t="shared" si="51"/>
        <v>0</v>
      </c>
      <c r="H241" s="96">
        <f t="shared" si="52"/>
        <v>0</v>
      </c>
      <c r="I241" s="96">
        <f t="shared" si="53"/>
        <v>0</v>
      </c>
      <c r="J241" s="96">
        <f t="shared" si="54"/>
        <v>0</v>
      </c>
      <c r="K241" s="94"/>
      <c r="L241" s="94"/>
    </row>
    <row r="242" spans="1:16">
      <c r="A242" s="95" t="str">
        <f t="shared" si="47"/>
        <v>Custard Apple</v>
      </c>
      <c r="B242" s="95" t="s">
        <v>320</v>
      </c>
      <c r="C242" s="256">
        <v>800</v>
      </c>
      <c r="D242" s="96">
        <f t="shared" si="48"/>
        <v>0</v>
      </c>
      <c r="E242" s="96">
        <f t="shared" si="49"/>
        <v>0</v>
      </c>
      <c r="F242" s="96">
        <f t="shared" si="50"/>
        <v>0</v>
      </c>
      <c r="G242" s="96">
        <f t="shared" si="51"/>
        <v>0</v>
      </c>
      <c r="H242" s="96">
        <f t="shared" si="52"/>
        <v>0</v>
      </c>
      <c r="I242" s="96">
        <f t="shared" si="53"/>
        <v>0</v>
      </c>
      <c r="J242" s="96">
        <f t="shared" si="54"/>
        <v>0</v>
      </c>
      <c r="K242" s="94"/>
      <c r="L242" s="94"/>
    </row>
    <row r="243" spans="1:16">
      <c r="A243" s="95" t="str">
        <f t="shared" si="47"/>
        <v>Guava</v>
      </c>
      <c r="B243" s="95" t="s">
        <v>320</v>
      </c>
      <c r="C243" s="256">
        <v>1300</v>
      </c>
      <c r="D243" s="96">
        <f t="shared" si="48"/>
        <v>0</v>
      </c>
      <c r="E243" s="96">
        <f t="shared" si="49"/>
        <v>0</v>
      </c>
      <c r="F243" s="96">
        <f t="shared" si="50"/>
        <v>0</v>
      </c>
      <c r="G243" s="96">
        <f t="shared" si="51"/>
        <v>0</v>
      </c>
      <c r="H243" s="96">
        <f t="shared" si="52"/>
        <v>0</v>
      </c>
      <c r="I243" s="96">
        <f t="shared" si="53"/>
        <v>0</v>
      </c>
      <c r="J243" s="96">
        <f t="shared" si="54"/>
        <v>0</v>
      </c>
      <c r="K243" s="94"/>
      <c r="L243" s="94"/>
    </row>
    <row r="244" spans="1:16">
      <c r="A244" s="95">
        <f t="shared" si="47"/>
        <v>0</v>
      </c>
      <c r="B244" s="95" t="s">
        <v>320</v>
      </c>
      <c r="C244" s="256">
        <v>2800</v>
      </c>
      <c r="D244" s="96">
        <f t="shared" si="48"/>
        <v>0</v>
      </c>
      <c r="E244" s="96">
        <f t="shared" si="49"/>
        <v>0</v>
      </c>
      <c r="F244" s="96">
        <f t="shared" si="50"/>
        <v>0</v>
      </c>
      <c r="G244" s="96">
        <f t="shared" si="51"/>
        <v>0</v>
      </c>
      <c r="H244" s="96">
        <f t="shared" si="52"/>
        <v>0</v>
      </c>
      <c r="I244" s="96">
        <f t="shared" si="53"/>
        <v>0</v>
      </c>
      <c r="J244" s="96">
        <f t="shared" si="54"/>
        <v>0</v>
      </c>
      <c r="K244" s="94"/>
      <c r="L244" s="94"/>
    </row>
    <row r="245" spans="1:16">
      <c r="A245" s="95" t="str">
        <f>A199</f>
        <v>Mango</v>
      </c>
      <c r="B245" s="95" t="s">
        <v>320</v>
      </c>
      <c r="C245" s="256">
        <v>4700</v>
      </c>
      <c r="D245" s="96">
        <f t="shared" ref="D245:J250" si="55">B102*$C245*D$154</f>
        <v>0</v>
      </c>
      <c r="E245" s="96">
        <f t="shared" si="55"/>
        <v>0</v>
      </c>
      <c r="F245" s="96">
        <f t="shared" si="55"/>
        <v>0</v>
      </c>
      <c r="G245" s="96">
        <f t="shared" si="55"/>
        <v>0</v>
      </c>
      <c r="H245" s="96">
        <f t="shared" si="55"/>
        <v>0</v>
      </c>
      <c r="I245" s="96">
        <f t="shared" si="55"/>
        <v>0</v>
      </c>
      <c r="J245" s="96">
        <f t="shared" si="55"/>
        <v>0</v>
      </c>
      <c r="K245" s="94"/>
      <c r="L245" s="94"/>
    </row>
    <row r="246" spans="1:16">
      <c r="A246" s="95" t="str">
        <f>A200</f>
        <v>Custard Apple</v>
      </c>
      <c r="B246" s="95" t="s">
        <v>320</v>
      </c>
      <c r="C246" s="256"/>
      <c r="D246" s="96">
        <f t="shared" si="55"/>
        <v>0</v>
      </c>
      <c r="E246" s="96">
        <f t="shared" si="55"/>
        <v>0</v>
      </c>
      <c r="F246" s="96">
        <f t="shared" si="55"/>
        <v>0</v>
      </c>
      <c r="G246" s="96">
        <f t="shared" si="55"/>
        <v>0</v>
      </c>
      <c r="H246" s="96">
        <f t="shared" si="55"/>
        <v>0</v>
      </c>
      <c r="I246" s="96">
        <f t="shared" si="55"/>
        <v>0</v>
      </c>
      <c r="J246" s="96">
        <f t="shared" si="55"/>
        <v>0</v>
      </c>
      <c r="K246" s="94"/>
      <c r="L246" s="94"/>
    </row>
    <row r="247" spans="1:16">
      <c r="A247" s="95" t="str">
        <f>A201</f>
        <v>Guava</v>
      </c>
      <c r="B247" s="95" t="s">
        <v>320</v>
      </c>
      <c r="C247" s="256"/>
      <c r="D247" s="96">
        <f t="shared" si="55"/>
        <v>0</v>
      </c>
      <c r="E247" s="96">
        <f t="shared" si="55"/>
        <v>0</v>
      </c>
      <c r="F247" s="96">
        <f t="shared" si="55"/>
        <v>0</v>
      </c>
      <c r="G247" s="96">
        <f t="shared" si="55"/>
        <v>0</v>
      </c>
      <c r="H247" s="96">
        <f t="shared" si="55"/>
        <v>0</v>
      </c>
      <c r="I247" s="96">
        <f t="shared" si="55"/>
        <v>0</v>
      </c>
      <c r="J247" s="96">
        <f t="shared" si="55"/>
        <v>0</v>
      </c>
      <c r="K247" s="94"/>
      <c r="L247" s="94"/>
    </row>
    <row r="248" spans="1:16">
      <c r="A248" s="95">
        <f>A202</f>
        <v>0</v>
      </c>
      <c r="B248" s="95" t="s">
        <v>320</v>
      </c>
      <c r="C248" s="256"/>
      <c r="D248" s="96">
        <f t="shared" si="55"/>
        <v>0</v>
      </c>
      <c r="E248" s="96">
        <f t="shared" si="55"/>
        <v>0</v>
      </c>
      <c r="F248" s="96">
        <f t="shared" si="55"/>
        <v>0</v>
      </c>
      <c r="G248" s="96">
        <f t="shared" si="55"/>
        <v>0</v>
      </c>
      <c r="H248" s="96">
        <f t="shared" si="55"/>
        <v>0</v>
      </c>
      <c r="I248" s="96">
        <f t="shared" si="55"/>
        <v>0</v>
      </c>
      <c r="J248" s="96">
        <f t="shared" si="55"/>
        <v>0</v>
      </c>
      <c r="K248" s="94"/>
      <c r="L248" s="94"/>
    </row>
    <row r="249" spans="1:16">
      <c r="A249" s="95">
        <f>A203</f>
        <v>0</v>
      </c>
      <c r="B249" s="95" t="s">
        <v>320</v>
      </c>
      <c r="C249" s="256"/>
      <c r="D249" s="96">
        <f t="shared" si="55"/>
        <v>0</v>
      </c>
      <c r="E249" s="96">
        <f t="shared" si="55"/>
        <v>0</v>
      </c>
      <c r="F249" s="96">
        <f t="shared" si="55"/>
        <v>0</v>
      </c>
      <c r="G249" s="96">
        <f t="shared" si="55"/>
        <v>0</v>
      </c>
      <c r="H249" s="96">
        <f t="shared" si="55"/>
        <v>0</v>
      </c>
      <c r="I249" s="96">
        <f t="shared" si="55"/>
        <v>0</v>
      </c>
      <c r="J249" s="96">
        <f t="shared" si="55"/>
        <v>0</v>
      </c>
      <c r="K249" s="94"/>
      <c r="L249" s="94"/>
    </row>
    <row r="250" spans="1:16">
      <c r="A250" s="95">
        <f>A205</f>
        <v>0</v>
      </c>
      <c r="B250" s="95"/>
      <c r="C250" s="256"/>
      <c r="D250" s="96">
        <f t="shared" si="55"/>
        <v>0</v>
      </c>
      <c r="E250" s="96">
        <f t="shared" si="55"/>
        <v>0</v>
      </c>
      <c r="F250" s="96">
        <f t="shared" si="55"/>
        <v>0</v>
      </c>
      <c r="G250" s="96">
        <f t="shared" si="55"/>
        <v>0</v>
      </c>
      <c r="H250" s="96">
        <f t="shared" si="55"/>
        <v>0</v>
      </c>
      <c r="I250" s="96">
        <f t="shared" si="55"/>
        <v>0</v>
      </c>
      <c r="J250" s="96">
        <f t="shared" si="55"/>
        <v>0</v>
      </c>
      <c r="K250" s="94"/>
      <c r="L250" s="94"/>
    </row>
    <row r="251" spans="1:16">
      <c r="A251" s="95"/>
      <c r="B251" s="95"/>
      <c r="C251" s="256"/>
      <c r="D251" s="96"/>
      <c r="E251" s="96"/>
      <c r="F251" s="96"/>
      <c r="G251" s="96"/>
      <c r="H251" s="96"/>
      <c r="I251" s="96"/>
      <c r="J251" s="96"/>
      <c r="K251" s="94"/>
      <c r="L251" s="94"/>
    </row>
    <row r="252" spans="1:16">
      <c r="A252" s="95" t="s">
        <v>267</v>
      </c>
      <c r="B252" s="232">
        <v>5</v>
      </c>
      <c r="C252" s="232">
        <v>300</v>
      </c>
      <c r="D252" s="96">
        <f t="shared" ref="D252:J252" si="56">B10*$B$252*$C$252*D154</f>
        <v>0</v>
      </c>
      <c r="E252" s="96">
        <f t="shared" si="56"/>
        <v>0</v>
      </c>
      <c r="F252" s="96">
        <f t="shared" si="56"/>
        <v>0</v>
      </c>
      <c r="G252" s="96">
        <f t="shared" si="56"/>
        <v>0</v>
      </c>
      <c r="H252" s="96">
        <f t="shared" si="56"/>
        <v>0</v>
      </c>
      <c r="I252" s="96">
        <f t="shared" si="56"/>
        <v>0</v>
      </c>
      <c r="J252" s="96">
        <f t="shared" si="56"/>
        <v>0</v>
      </c>
      <c r="K252" s="94"/>
      <c r="L252" s="94"/>
    </row>
    <row r="253" spans="1:16">
      <c r="A253" s="95" t="s">
        <v>109</v>
      </c>
      <c r="B253" s="95">
        <f>'2.Capex Details'!H80*0.746*8</f>
        <v>0</v>
      </c>
      <c r="C253" s="232">
        <v>8</v>
      </c>
      <c r="D253" s="96">
        <f t="shared" ref="D253:J253" si="57">$B$253*$C$253*D154*B10</f>
        <v>0</v>
      </c>
      <c r="E253" s="96">
        <f t="shared" si="57"/>
        <v>0</v>
      </c>
      <c r="F253" s="96">
        <f t="shared" si="57"/>
        <v>0</v>
      </c>
      <c r="G253" s="96">
        <f t="shared" si="57"/>
        <v>0</v>
      </c>
      <c r="H253" s="96">
        <f t="shared" si="57"/>
        <v>0</v>
      </c>
      <c r="I253" s="96">
        <f t="shared" si="57"/>
        <v>0</v>
      </c>
      <c r="J253" s="96">
        <f t="shared" si="57"/>
        <v>0</v>
      </c>
      <c r="K253" s="94"/>
      <c r="L253" s="94"/>
      <c r="M253" t="s">
        <v>648</v>
      </c>
      <c r="N253">
        <v>3</v>
      </c>
      <c r="O253">
        <f>+N253*300</f>
        <v>900</v>
      </c>
      <c r="P253">
        <f>+O253*150</f>
        <v>135000</v>
      </c>
    </row>
    <row r="254" spans="1:16">
      <c r="A254" s="95" t="s">
        <v>426</v>
      </c>
      <c r="B254" s="95"/>
      <c r="C254" s="232">
        <v>30</v>
      </c>
      <c r="D254" s="96">
        <f t="shared" ref="D254:J254" si="58">SUM(B109:B130)*$C$254*D154</f>
        <v>0</v>
      </c>
      <c r="E254" s="96">
        <f t="shared" si="58"/>
        <v>0</v>
      </c>
      <c r="F254" s="96">
        <f t="shared" si="58"/>
        <v>0</v>
      </c>
      <c r="G254" s="96">
        <f t="shared" si="58"/>
        <v>0</v>
      </c>
      <c r="H254" s="96">
        <f t="shared" si="58"/>
        <v>0</v>
      </c>
      <c r="I254" s="96">
        <f t="shared" si="58"/>
        <v>0</v>
      </c>
      <c r="J254" s="96">
        <f t="shared" si="58"/>
        <v>0</v>
      </c>
      <c r="K254" s="94"/>
      <c r="L254" s="94"/>
      <c r="M254" t="s">
        <v>647</v>
      </c>
      <c r="N254">
        <v>1</v>
      </c>
      <c r="O254">
        <f>+N254*500</f>
        <v>500</v>
      </c>
      <c r="P254">
        <f>+O254*150</f>
        <v>75000</v>
      </c>
    </row>
    <row r="255" spans="1:16">
      <c r="A255" s="95" t="s">
        <v>425</v>
      </c>
      <c r="B255" s="95"/>
      <c r="C255" s="232">
        <v>30</v>
      </c>
      <c r="D255" s="96">
        <f t="shared" ref="D255:J255" si="59">SUM(B109:B130)*$C$255*D154</f>
        <v>0</v>
      </c>
      <c r="E255" s="96">
        <f t="shared" si="59"/>
        <v>0</v>
      </c>
      <c r="F255" s="96">
        <f t="shared" si="59"/>
        <v>0</v>
      </c>
      <c r="G255" s="96">
        <f t="shared" si="59"/>
        <v>0</v>
      </c>
      <c r="H255" s="96">
        <f t="shared" si="59"/>
        <v>0</v>
      </c>
      <c r="I255" s="96">
        <f t="shared" si="59"/>
        <v>0</v>
      </c>
      <c r="J255" s="96">
        <f t="shared" si="59"/>
        <v>0</v>
      </c>
      <c r="K255" s="94"/>
      <c r="L255" s="94"/>
      <c r="O255">
        <f>+O253+O254</f>
        <v>1400</v>
      </c>
      <c r="P255" s="5">
        <f>+P253+P254</f>
        <v>210000</v>
      </c>
    </row>
    <row r="256" spans="1:16">
      <c r="A256" s="10"/>
      <c r="B256" s="10"/>
      <c r="C256" s="10"/>
      <c r="D256" s="10"/>
      <c r="E256" s="10"/>
      <c r="F256" s="10"/>
      <c r="G256" s="10"/>
      <c r="H256" s="10"/>
      <c r="I256" s="10"/>
      <c r="J256" s="10"/>
      <c r="K256" s="94"/>
      <c r="L256" s="94"/>
      <c r="O256">
        <f>+O255/2</f>
        <v>700</v>
      </c>
    </row>
    <row r="257" spans="1:20">
      <c r="A257" s="10"/>
      <c r="B257" s="10"/>
      <c r="C257" s="10"/>
      <c r="D257" s="10"/>
      <c r="E257" s="10"/>
      <c r="F257" s="10"/>
      <c r="G257" s="10"/>
      <c r="H257" s="10"/>
      <c r="I257" s="10"/>
      <c r="J257" s="10"/>
      <c r="K257" s="94"/>
      <c r="L257" s="94"/>
      <c r="M257" s="390" t="s">
        <v>109</v>
      </c>
    </row>
    <row r="258" spans="1:20">
      <c r="A258" s="10"/>
      <c r="B258" s="10"/>
      <c r="C258" s="10"/>
      <c r="D258" s="10"/>
      <c r="E258" s="10"/>
      <c r="F258" s="10"/>
      <c r="G258" s="10"/>
      <c r="H258" s="10"/>
      <c r="I258" s="10"/>
      <c r="J258" s="10"/>
      <c r="K258" s="94"/>
      <c r="L258" s="94"/>
      <c r="M258">
        <v>10500</v>
      </c>
    </row>
    <row r="259" spans="1:20">
      <c r="A259" s="99" t="s">
        <v>299</v>
      </c>
      <c r="B259" s="95"/>
      <c r="C259" s="95"/>
      <c r="D259" s="200"/>
      <c r="E259" s="200">
        <f>'5.Closing Stock &amp; W Capital'!F7</f>
        <v>0</v>
      </c>
      <c r="F259" s="200">
        <f>'5.Closing Stock &amp; W Capital'!G7</f>
        <v>0</v>
      </c>
      <c r="G259" s="200">
        <f>'5.Closing Stock &amp; W Capital'!H7</f>
        <v>0</v>
      </c>
      <c r="H259" s="200">
        <f>'5.Closing Stock &amp; W Capital'!I7</f>
        <v>0</v>
      </c>
      <c r="I259" s="200">
        <f>'5.Closing Stock &amp; W Capital'!J7</f>
        <v>0</v>
      </c>
      <c r="J259" s="200">
        <f>'5.Closing Stock &amp; W Capital'!K7</f>
        <v>0</v>
      </c>
      <c r="K259" s="94"/>
      <c r="L259" s="94"/>
      <c r="N259" s="198">
        <v>1</v>
      </c>
      <c r="O259" s="199">
        <f>(N259*5%)+N259</f>
        <v>1.05</v>
      </c>
      <c r="P259" s="199">
        <f t="shared" ref="P259:T259" si="60">(O259*5%)+O259</f>
        <v>1.1025</v>
      </c>
      <c r="Q259" s="199">
        <f t="shared" si="60"/>
        <v>1.1576250000000001</v>
      </c>
      <c r="R259" s="199">
        <f t="shared" si="60"/>
        <v>1.2155062500000002</v>
      </c>
      <c r="S259" s="199">
        <f t="shared" si="60"/>
        <v>1.2762815625000004</v>
      </c>
      <c r="T259" s="199">
        <f t="shared" si="60"/>
        <v>1.3400956406250004</v>
      </c>
    </row>
    <row r="260" spans="1:20">
      <c r="A260" s="99" t="s">
        <v>300</v>
      </c>
      <c r="B260" s="95"/>
      <c r="C260" s="200"/>
      <c r="D260" s="200">
        <f>'5.Closing Stock &amp; W Capital'!E16</f>
        <v>0</v>
      </c>
      <c r="E260" s="200">
        <f>'5.Closing Stock &amp; W Capital'!F16</f>
        <v>0</v>
      </c>
      <c r="F260" s="200">
        <f>'5.Closing Stock &amp; W Capital'!G16</f>
        <v>0</v>
      </c>
      <c r="G260" s="200">
        <f>'5.Closing Stock &amp; W Capital'!H16</f>
        <v>0</v>
      </c>
      <c r="H260" s="200">
        <f>'5.Closing Stock &amp; W Capital'!I16</f>
        <v>0</v>
      </c>
      <c r="I260" s="200">
        <f>'5.Closing Stock &amp; W Capital'!J16</f>
        <v>0</v>
      </c>
      <c r="J260" s="200">
        <f>'5.Closing Stock &amp; W Capital'!K16</f>
        <v>0</v>
      </c>
      <c r="K260" s="94"/>
      <c r="L260" s="94"/>
      <c r="M260" s="390" t="s">
        <v>649</v>
      </c>
      <c r="N260" s="5" t="s">
        <v>11</v>
      </c>
      <c r="O260" s="5" t="s">
        <v>12</v>
      </c>
      <c r="P260" s="5" t="s">
        <v>13</v>
      </c>
      <c r="Q260" s="5" t="s">
        <v>14</v>
      </c>
      <c r="R260" s="5" t="s">
        <v>15</v>
      </c>
      <c r="S260" s="5" t="s">
        <v>16</v>
      </c>
      <c r="T260" s="5" t="s">
        <v>234</v>
      </c>
    </row>
    <row r="261" spans="1:20">
      <c r="A261" s="99"/>
      <c r="B261" s="95"/>
      <c r="C261" s="203"/>
      <c r="D261" s="200"/>
      <c r="E261" s="200"/>
      <c r="F261" s="200"/>
      <c r="G261" s="200"/>
      <c r="H261" s="200"/>
      <c r="I261" s="200"/>
      <c r="J261" s="200"/>
      <c r="K261" s="94"/>
      <c r="L261" s="94"/>
      <c r="M261" t="s">
        <v>650</v>
      </c>
      <c r="N261" s="391">
        <f t="shared" ref="N261:T261" si="61">+B133+B142+B60</f>
        <v>0</v>
      </c>
      <c r="O261" s="391">
        <f t="shared" si="61"/>
        <v>0</v>
      </c>
      <c r="P261" s="391">
        <f t="shared" si="61"/>
        <v>0</v>
      </c>
      <c r="Q261" s="391">
        <f t="shared" si="61"/>
        <v>0</v>
      </c>
      <c r="R261" s="391">
        <f t="shared" si="61"/>
        <v>0</v>
      </c>
      <c r="S261" s="391">
        <f t="shared" si="61"/>
        <v>0</v>
      </c>
      <c r="T261" s="391">
        <f t="shared" si="61"/>
        <v>0</v>
      </c>
    </row>
    <row r="262" spans="1:20">
      <c r="A262" s="97" t="s">
        <v>277</v>
      </c>
      <c r="B262" s="97"/>
      <c r="C262" s="97"/>
      <c r="D262" s="115">
        <f t="shared" ref="D262:J262" si="62">SUM(D208:D259)-D260</f>
        <v>0</v>
      </c>
      <c r="E262" s="115">
        <f t="shared" si="62"/>
        <v>0</v>
      </c>
      <c r="F262" s="115">
        <f t="shared" si="62"/>
        <v>0</v>
      </c>
      <c r="G262" s="115">
        <f t="shared" si="62"/>
        <v>0</v>
      </c>
      <c r="H262" s="115">
        <f t="shared" si="62"/>
        <v>0</v>
      </c>
      <c r="I262" s="115">
        <f t="shared" si="62"/>
        <v>0</v>
      </c>
      <c r="J262" s="115">
        <f t="shared" si="62"/>
        <v>0</v>
      </c>
      <c r="K262" s="94"/>
      <c r="L262" s="94"/>
      <c r="M262" s="94" t="s">
        <v>651</v>
      </c>
      <c r="N262" s="392">
        <f>+N261*100</f>
        <v>0</v>
      </c>
      <c r="O262" s="392">
        <f t="shared" ref="O262:T262" si="63">+O261*100</f>
        <v>0</v>
      </c>
      <c r="P262" s="392">
        <f t="shared" si="63"/>
        <v>0</v>
      </c>
      <c r="Q262" s="392">
        <f t="shared" si="63"/>
        <v>0</v>
      </c>
      <c r="R262" s="392">
        <f t="shared" si="63"/>
        <v>0</v>
      </c>
      <c r="S262" s="392">
        <f t="shared" si="63"/>
        <v>0</v>
      </c>
      <c r="T262" s="392">
        <f t="shared" si="63"/>
        <v>0</v>
      </c>
    </row>
    <row r="263" spans="1:20">
      <c r="A263" s="97" t="s">
        <v>264</v>
      </c>
      <c r="B263" s="95"/>
      <c r="C263" s="95"/>
      <c r="D263" s="110"/>
      <c r="E263" s="110"/>
      <c r="F263" s="110"/>
      <c r="G263" s="110"/>
      <c r="H263" s="110"/>
      <c r="I263" s="95"/>
      <c r="J263" s="95"/>
      <c r="K263" s="94"/>
      <c r="L263" s="94"/>
      <c r="M263" s="94" t="s">
        <v>652</v>
      </c>
      <c r="N263" s="392">
        <v>50</v>
      </c>
      <c r="O263" s="392">
        <v>50</v>
      </c>
      <c r="P263" s="392">
        <v>50</v>
      </c>
      <c r="Q263" s="392">
        <v>50</v>
      </c>
      <c r="R263" s="392">
        <v>50</v>
      </c>
      <c r="S263" s="392">
        <v>50</v>
      </c>
      <c r="T263" s="392">
        <v>50</v>
      </c>
    </row>
    <row r="264" spans="1:20">
      <c r="A264" s="95" t="s">
        <v>153</v>
      </c>
      <c r="B264" s="232">
        <v>1</v>
      </c>
      <c r="C264" s="256"/>
      <c r="D264" s="96">
        <f t="shared" ref="D264:J264" si="64">$B$264*$C$264*12*D154</f>
        <v>0</v>
      </c>
      <c r="E264" s="96">
        <f t="shared" si="64"/>
        <v>0</v>
      </c>
      <c r="F264" s="96">
        <f t="shared" si="64"/>
        <v>0</v>
      </c>
      <c r="G264" s="96">
        <f t="shared" si="64"/>
        <v>0</v>
      </c>
      <c r="H264" s="96">
        <f t="shared" si="64"/>
        <v>0</v>
      </c>
      <c r="I264" s="96">
        <f t="shared" si="64"/>
        <v>0</v>
      </c>
      <c r="J264" s="96">
        <f t="shared" si="64"/>
        <v>0</v>
      </c>
      <c r="K264" s="94"/>
      <c r="L264" s="94"/>
      <c r="M264" s="94" t="s">
        <v>653</v>
      </c>
      <c r="N264" s="392">
        <f>+N262/N263</f>
        <v>0</v>
      </c>
      <c r="O264" s="392">
        <f t="shared" ref="O264:T264" si="65">+O262/O263</f>
        <v>0</v>
      </c>
      <c r="P264" s="392">
        <f t="shared" si="65"/>
        <v>0</v>
      </c>
      <c r="Q264" s="392">
        <f t="shared" si="65"/>
        <v>0</v>
      </c>
      <c r="R264" s="392">
        <f t="shared" si="65"/>
        <v>0</v>
      </c>
      <c r="S264" s="392">
        <f t="shared" si="65"/>
        <v>0</v>
      </c>
      <c r="T264" s="392">
        <f t="shared" si="65"/>
        <v>0</v>
      </c>
    </row>
    <row r="265" spans="1:20">
      <c r="A265" s="95"/>
      <c r="B265" s="232"/>
      <c r="C265" s="256"/>
      <c r="D265" s="96"/>
      <c r="E265" s="96"/>
      <c r="F265" s="96"/>
      <c r="G265" s="96"/>
      <c r="H265" s="96"/>
      <c r="I265" s="96"/>
      <c r="J265" s="96"/>
      <c r="K265" s="94"/>
      <c r="L265" s="94"/>
      <c r="M265" s="94" t="s">
        <v>654</v>
      </c>
      <c r="N265" s="393">
        <v>35</v>
      </c>
      <c r="O265" s="393">
        <v>35</v>
      </c>
      <c r="P265" s="393">
        <v>35</v>
      </c>
      <c r="Q265" s="393">
        <v>35</v>
      </c>
      <c r="R265" s="393">
        <v>35</v>
      </c>
      <c r="S265" s="393">
        <v>35</v>
      </c>
      <c r="T265" s="393">
        <v>35</v>
      </c>
    </row>
    <row r="266" spans="1:20">
      <c r="A266" s="95"/>
      <c r="B266" s="232"/>
      <c r="C266" s="256"/>
      <c r="D266" s="96"/>
      <c r="E266" s="96"/>
      <c r="F266" s="96"/>
      <c r="G266" s="96"/>
      <c r="H266" s="96"/>
      <c r="I266" s="96"/>
      <c r="J266" s="96"/>
      <c r="K266" s="94"/>
      <c r="L266" s="94"/>
      <c r="M266" s="116" t="s">
        <v>286</v>
      </c>
      <c r="N266" s="394">
        <f>+N264*N265*N259</f>
        <v>0</v>
      </c>
      <c r="O266" s="394">
        <f t="shared" ref="O266:T266" si="66">+O264*O265*O259</f>
        <v>0</v>
      </c>
      <c r="P266" s="394">
        <f t="shared" si="66"/>
        <v>0</v>
      </c>
      <c r="Q266" s="394">
        <f t="shared" si="66"/>
        <v>0</v>
      </c>
      <c r="R266" s="394">
        <f t="shared" si="66"/>
        <v>0</v>
      </c>
      <c r="S266" s="394">
        <f t="shared" si="66"/>
        <v>0</v>
      </c>
      <c r="T266" s="394">
        <f t="shared" si="66"/>
        <v>0</v>
      </c>
    </row>
    <row r="267" spans="1:20">
      <c r="A267" s="95"/>
      <c r="B267" s="232"/>
      <c r="C267" s="256"/>
      <c r="D267" s="96"/>
      <c r="E267" s="96"/>
      <c r="F267" s="96"/>
      <c r="G267" s="96"/>
      <c r="H267" s="96"/>
      <c r="I267" s="96"/>
      <c r="J267" s="96"/>
      <c r="K267" s="94"/>
      <c r="L267" s="94"/>
      <c r="M267" s="94"/>
      <c r="N267" s="392"/>
      <c r="O267" s="392"/>
      <c r="P267" s="392"/>
      <c r="Q267" s="392"/>
      <c r="R267" s="392"/>
      <c r="S267" s="392"/>
      <c r="T267" s="392"/>
    </row>
    <row r="268" spans="1:20">
      <c r="A268" s="95"/>
      <c r="B268" s="232"/>
      <c r="C268" s="256"/>
      <c r="D268" s="96"/>
      <c r="E268" s="96"/>
      <c r="F268" s="96"/>
      <c r="G268" s="96"/>
      <c r="H268" s="96"/>
      <c r="I268" s="96"/>
      <c r="J268" s="96"/>
      <c r="K268" s="94"/>
      <c r="L268" s="94"/>
      <c r="M268" s="94"/>
      <c r="N268" s="198">
        <v>1</v>
      </c>
      <c r="O268" s="199">
        <f>(N268*5%)+N268</f>
        <v>1.05</v>
      </c>
      <c r="P268" s="199">
        <f t="shared" ref="P268:T268" si="67">(O268*5%)+O268</f>
        <v>1.1025</v>
      </c>
      <c r="Q268" s="199">
        <f t="shared" si="67"/>
        <v>1.1576250000000001</v>
      </c>
      <c r="R268" s="199">
        <f t="shared" si="67"/>
        <v>1.2155062500000002</v>
      </c>
      <c r="S268" s="199">
        <f t="shared" si="67"/>
        <v>1.2762815625000004</v>
      </c>
      <c r="T268" s="199">
        <f t="shared" si="67"/>
        <v>1.3400956406250004</v>
      </c>
    </row>
    <row r="269" spans="1:20">
      <c r="A269" s="95"/>
      <c r="B269" s="232"/>
      <c r="C269" s="256"/>
      <c r="D269" s="96"/>
      <c r="E269" s="96"/>
      <c r="F269" s="96"/>
      <c r="G269" s="96"/>
      <c r="H269" s="96"/>
      <c r="I269" s="96"/>
      <c r="J269" s="96"/>
      <c r="K269" s="94"/>
      <c r="L269" s="94"/>
      <c r="M269" s="116" t="s">
        <v>137</v>
      </c>
      <c r="N269" s="5" t="s">
        <v>11</v>
      </c>
      <c r="O269" s="5" t="s">
        <v>12</v>
      </c>
      <c r="P269" s="5" t="s">
        <v>13</v>
      </c>
      <c r="Q269" s="5" t="s">
        <v>14</v>
      </c>
      <c r="R269" s="5" t="s">
        <v>15</v>
      </c>
      <c r="S269" s="5" t="s">
        <v>16</v>
      </c>
      <c r="T269" s="5" t="s">
        <v>234</v>
      </c>
    </row>
    <row r="270" spans="1:20">
      <c r="A270" s="95"/>
      <c r="B270" s="232"/>
      <c r="C270" s="256"/>
      <c r="D270" s="96"/>
      <c r="E270" s="96"/>
      <c r="F270" s="96"/>
      <c r="G270" s="96"/>
      <c r="H270" s="96"/>
      <c r="I270" s="96"/>
      <c r="J270" s="96"/>
      <c r="K270" s="94"/>
      <c r="L270" s="94"/>
      <c r="M270" t="s">
        <v>650</v>
      </c>
      <c r="N270" s="392">
        <f>+N261</f>
        <v>0</v>
      </c>
      <c r="O270" s="392">
        <f t="shared" ref="O270:T271" si="68">+O261</f>
        <v>0</v>
      </c>
      <c r="P270" s="392">
        <f t="shared" si="68"/>
        <v>0</v>
      </c>
      <c r="Q270" s="392">
        <f t="shared" si="68"/>
        <v>0</v>
      </c>
      <c r="R270" s="392">
        <f t="shared" si="68"/>
        <v>0</v>
      </c>
      <c r="S270" s="392">
        <f t="shared" si="68"/>
        <v>0</v>
      </c>
      <c r="T270" s="392">
        <f t="shared" si="68"/>
        <v>0</v>
      </c>
    </row>
    <row r="271" spans="1:20">
      <c r="A271" s="97" t="s">
        <v>281</v>
      </c>
      <c r="B271" s="237"/>
      <c r="C271" s="237"/>
      <c r="D271" s="115">
        <f t="shared" ref="D271:J271" si="69">SUM(D264:D270)</f>
        <v>0</v>
      </c>
      <c r="E271" s="115">
        <f t="shared" si="69"/>
        <v>0</v>
      </c>
      <c r="F271" s="115">
        <f t="shared" si="69"/>
        <v>0</v>
      </c>
      <c r="G271" s="115">
        <f t="shared" si="69"/>
        <v>0</v>
      </c>
      <c r="H271" s="115">
        <f t="shared" si="69"/>
        <v>0</v>
      </c>
      <c r="I271" s="115">
        <f t="shared" si="69"/>
        <v>0</v>
      </c>
      <c r="J271" s="115">
        <f t="shared" si="69"/>
        <v>0</v>
      </c>
      <c r="K271" s="94"/>
      <c r="L271" s="94"/>
      <c r="M271" s="94" t="s">
        <v>651</v>
      </c>
      <c r="N271" s="392">
        <f>+N262</f>
        <v>0</v>
      </c>
      <c r="O271" s="392">
        <f t="shared" si="68"/>
        <v>0</v>
      </c>
      <c r="P271" s="392">
        <f t="shared" si="68"/>
        <v>0</v>
      </c>
      <c r="Q271" s="392">
        <f t="shared" si="68"/>
        <v>0</v>
      </c>
      <c r="R271" s="392">
        <f t="shared" si="68"/>
        <v>0</v>
      </c>
      <c r="S271" s="392">
        <f t="shared" si="68"/>
        <v>0</v>
      </c>
      <c r="T271" s="392">
        <f t="shared" si="68"/>
        <v>0</v>
      </c>
    </row>
    <row r="272" spans="1:20">
      <c r="A272" s="97" t="s">
        <v>94</v>
      </c>
      <c r="B272" s="97"/>
      <c r="C272" s="97"/>
      <c r="D272" s="115">
        <f t="shared" ref="D272:J272" si="70">D262+D271</f>
        <v>0</v>
      </c>
      <c r="E272" s="115">
        <f t="shared" si="70"/>
        <v>0</v>
      </c>
      <c r="F272" s="115">
        <f t="shared" si="70"/>
        <v>0</v>
      </c>
      <c r="G272" s="115">
        <f t="shared" si="70"/>
        <v>0</v>
      </c>
      <c r="H272" s="115">
        <f t="shared" si="70"/>
        <v>0</v>
      </c>
      <c r="I272" s="115">
        <f t="shared" si="70"/>
        <v>0</v>
      </c>
      <c r="J272" s="115">
        <f t="shared" si="70"/>
        <v>0</v>
      </c>
      <c r="K272" s="94"/>
      <c r="L272" s="94"/>
      <c r="M272" s="94" t="s">
        <v>655</v>
      </c>
      <c r="N272" s="392">
        <v>20</v>
      </c>
      <c r="O272" s="392">
        <v>20</v>
      </c>
      <c r="P272" s="392">
        <v>20</v>
      </c>
      <c r="Q272" s="392">
        <v>20</v>
      </c>
      <c r="R272" s="392">
        <v>20</v>
      </c>
      <c r="S272" s="392">
        <v>20</v>
      </c>
      <c r="T272" s="392">
        <v>20</v>
      </c>
    </row>
    <row r="273" spans="1:20">
      <c r="A273" s="95"/>
      <c r="B273" s="95"/>
      <c r="C273" s="95"/>
      <c r="D273" s="110"/>
      <c r="E273" s="110"/>
      <c r="F273" s="110"/>
      <c r="G273" s="110"/>
      <c r="H273" s="110"/>
      <c r="I273" s="95"/>
      <c r="J273" s="95"/>
      <c r="K273" s="94"/>
      <c r="L273" s="94"/>
      <c r="M273" s="116" t="s">
        <v>656</v>
      </c>
      <c r="N273" s="394">
        <f>+N271/100*N272*N268</f>
        <v>0</v>
      </c>
      <c r="O273" s="394">
        <f t="shared" ref="O273:T273" si="71">+O271/100*O272*O268</f>
        <v>0</v>
      </c>
      <c r="P273" s="394">
        <f t="shared" si="71"/>
        <v>0</v>
      </c>
      <c r="Q273" s="394">
        <f t="shared" si="71"/>
        <v>0</v>
      </c>
      <c r="R273" s="394">
        <f t="shared" si="71"/>
        <v>0</v>
      </c>
      <c r="S273" s="394">
        <f t="shared" si="71"/>
        <v>0</v>
      </c>
      <c r="T273" s="394">
        <f t="shared" si="71"/>
        <v>0</v>
      </c>
    </row>
    <row r="274" spans="1:20">
      <c r="A274" s="97"/>
      <c r="B274" s="97"/>
      <c r="C274" s="97"/>
      <c r="D274" s="110"/>
      <c r="E274" s="110"/>
      <c r="F274" s="110"/>
      <c r="G274" s="110"/>
      <c r="H274" s="110"/>
      <c r="I274" s="95"/>
      <c r="J274" s="95"/>
      <c r="K274" s="94"/>
      <c r="L274" s="94"/>
      <c r="M274" s="94"/>
      <c r="N274" s="94"/>
      <c r="O274" s="94"/>
      <c r="P274" s="94"/>
      <c r="Q274" s="94"/>
      <c r="R274" s="94"/>
      <c r="S274" s="94"/>
      <c r="T274" s="94"/>
    </row>
    <row r="275" spans="1:20">
      <c r="A275" s="97" t="s">
        <v>269</v>
      </c>
      <c r="B275" s="97"/>
      <c r="C275" s="97"/>
      <c r="D275" s="115">
        <f t="shared" ref="D275:J275" si="72">D204-D272</f>
        <v>0</v>
      </c>
      <c r="E275" s="115">
        <f t="shared" si="72"/>
        <v>0</v>
      </c>
      <c r="F275" s="115">
        <f t="shared" si="72"/>
        <v>0</v>
      </c>
      <c r="G275" s="115">
        <f t="shared" si="72"/>
        <v>0</v>
      </c>
      <c r="H275" s="115">
        <f t="shared" si="72"/>
        <v>0</v>
      </c>
      <c r="I275" s="115">
        <f t="shared" si="72"/>
        <v>0</v>
      </c>
      <c r="J275" s="115">
        <f t="shared" si="72"/>
        <v>0</v>
      </c>
      <c r="K275" s="94"/>
      <c r="L275" s="94"/>
      <c r="M275" s="94"/>
      <c r="N275" s="94"/>
      <c r="O275" s="94"/>
      <c r="P275" s="94"/>
      <c r="Q275" s="94"/>
      <c r="R275" s="94"/>
      <c r="S275" s="94"/>
      <c r="T275" s="94"/>
    </row>
    <row r="276" spans="1:20">
      <c r="A276" s="94"/>
      <c r="B276" s="94"/>
      <c r="C276" s="94"/>
      <c r="D276" s="94"/>
      <c r="E276" s="94"/>
      <c r="F276" s="94"/>
      <c r="G276" s="94"/>
      <c r="H276" s="94"/>
      <c r="I276" s="94"/>
      <c r="J276" s="94"/>
    </row>
    <row r="277" spans="1:20">
      <c r="A277" s="94" t="s">
        <v>51</v>
      </c>
      <c r="B277" s="94"/>
      <c r="C277" s="94"/>
      <c r="D277" s="94"/>
      <c r="E277" s="94"/>
      <c r="F277" s="94"/>
      <c r="G277" s="94"/>
      <c r="H277" s="94"/>
      <c r="I277" s="94"/>
      <c r="J277" s="94"/>
    </row>
    <row r="278" spans="1:20">
      <c r="A278" s="402" t="s">
        <v>384</v>
      </c>
      <c r="B278" s="402"/>
      <c r="C278" s="402"/>
      <c r="D278" s="402"/>
      <c r="E278" s="402"/>
      <c r="F278" s="402"/>
      <c r="G278" s="402"/>
      <c r="H278" s="402"/>
      <c r="I278" s="402"/>
      <c r="J278" s="402"/>
    </row>
    <row r="280" spans="1:20">
      <c r="A280" t="s">
        <v>492</v>
      </c>
    </row>
    <row r="281" spans="1:20">
      <c r="A281">
        <v>1</v>
      </c>
      <c r="B281" t="s">
        <v>505</v>
      </c>
    </row>
    <row r="282" spans="1:20">
      <c r="A282">
        <v>2</v>
      </c>
      <c r="B282" t="s">
        <v>506</v>
      </c>
    </row>
    <row r="283" spans="1:20">
      <c r="A283">
        <v>3</v>
      </c>
      <c r="B283" s="94" t="s">
        <v>557</v>
      </c>
    </row>
  </sheetData>
  <mergeCells count="5">
    <mergeCell ref="A152:J152"/>
    <mergeCell ref="A2:H2"/>
    <mergeCell ref="A278:J278"/>
    <mergeCell ref="F4:H4"/>
    <mergeCell ref="A3:H3"/>
  </mergeCells>
  <pageMargins left="0.7" right="0.7" top="0.75" bottom="0.75" header="0.3" footer="0.3"/>
  <pageSetup paperSize="9" scale="4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S189"/>
  <sheetViews>
    <sheetView view="pageBreakPreview" topLeftCell="A4" zoomScaleNormal="100" zoomScaleSheetLayoutView="100" workbookViewId="0">
      <selection activeCell="B6" sqref="B6"/>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25" t="s">
        <v>541</v>
      </c>
      <c r="B3" s="425"/>
      <c r="C3" s="425"/>
      <c r="D3" s="425"/>
      <c r="E3" s="425"/>
      <c r="F3" s="425"/>
      <c r="G3" s="425"/>
      <c r="H3" s="425"/>
    </row>
    <row r="4" spans="1:8" ht="18.75">
      <c r="A4" s="425" t="s">
        <v>542</v>
      </c>
      <c r="B4" s="425"/>
      <c r="C4" s="425"/>
      <c r="D4" s="425"/>
      <c r="E4" s="425"/>
      <c r="F4" s="425"/>
      <c r="G4" s="425"/>
      <c r="H4" s="425"/>
    </row>
    <row r="5" spans="1:8">
      <c r="A5" s="94" t="s">
        <v>126</v>
      </c>
      <c r="B5" s="249">
        <f>200/100</f>
        <v>2</v>
      </c>
      <c r="C5" s="94" t="s">
        <v>436</v>
      </c>
      <c r="D5" s="94"/>
      <c r="E5" s="94"/>
      <c r="F5" s="94"/>
      <c r="G5" s="94"/>
      <c r="H5" s="94"/>
    </row>
    <row r="6" spans="1:8">
      <c r="A6" s="94" t="s">
        <v>127</v>
      </c>
      <c r="B6" s="282">
        <v>8</v>
      </c>
      <c r="C6" s="94"/>
      <c r="D6" s="94"/>
      <c r="E6" s="94"/>
      <c r="F6" s="94"/>
      <c r="G6" s="94"/>
      <c r="H6" s="94"/>
    </row>
    <row r="7" spans="1:8">
      <c r="A7" s="94"/>
      <c r="B7" s="282"/>
      <c r="C7" s="94"/>
      <c r="D7" s="94"/>
      <c r="E7" s="94"/>
      <c r="F7" s="94"/>
      <c r="G7" s="94"/>
      <c r="H7" s="94"/>
    </row>
    <row r="8" spans="1:8">
      <c r="A8" s="94"/>
      <c r="B8" s="282"/>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134</v>
      </c>
      <c r="H11" s="83" t="s">
        <v>133</v>
      </c>
    </row>
    <row r="12" spans="1:8">
      <c r="A12" s="95" t="s">
        <v>135</v>
      </c>
      <c r="B12" s="316">
        <f>B32/($B$5*$B$6)</f>
        <v>0</v>
      </c>
      <c r="C12" s="316">
        <f t="shared" ref="C12:H12" si="0">C32/($B$5*$B$6)</f>
        <v>0</v>
      </c>
      <c r="D12" s="316">
        <f t="shared" si="0"/>
        <v>0</v>
      </c>
      <c r="E12" s="316">
        <f t="shared" si="0"/>
        <v>0</v>
      </c>
      <c r="F12" s="316">
        <f t="shared" si="0"/>
        <v>0</v>
      </c>
      <c r="G12" s="316">
        <f t="shared" si="0"/>
        <v>0</v>
      </c>
      <c r="H12" s="316">
        <f t="shared" si="0"/>
        <v>0</v>
      </c>
    </row>
    <row r="13" spans="1:8">
      <c r="A13" s="95" t="str">
        <f>'10.Grain Production details'!A67</f>
        <v>Soybean</v>
      </c>
      <c r="B13" s="95">
        <f>'10.Grain Production details'!B67</f>
        <v>0</v>
      </c>
      <c r="C13" s="95">
        <f>'10.Grain Production details'!C67</f>
        <v>0</v>
      </c>
      <c r="D13" s="95">
        <f>'10.Grain Production details'!D67</f>
        <v>0</v>
      </c>
      <c r="E13" s="95">
        <f>'10.Grain Production details'!E67</f>
        <v>0</v>
      </c>
      <c r="F13" s="95">
        <f>'10.Grain Production details'!F67</f>
        <v>0</v>
      </c>
      <c r="G13" s="95">
        <f>'10.Grain Production details'!G67</f>
        <v>0</v>
      </c>
      <c r="H13" s="95">
        <f>'10.Grain Production details'!H67</f>
        <v>0</v>
      </c>
    </row>
    <row r="14" spans="1:8">
      <c r="A14" s="95" t="str">
        <f>'10.Grain Production details'!A68</f>
        <v>Red Gram/Tur</v>
      </c>
      <c r="B14" s="95">
        <f>'10.Grain Production details'!B68</f>
        <v>0</v>
      </c>
      <c r="C14" s="95">
        <f>'10.Grain Production details'!C68</f>
        <v>0</v>
      </c>
      <c r="D14" s="95">
        <f>'10.Grain Production details'!D68</f>
        <v>0</v>
      </c>
      <c r="E14" s="95">
        <f>'10.Grain Production details'!E68</f>
        <v>0</v>
      </c>
      <c r="F14" s="95">
        <f>'10.Grain Production details'!F68</f>
        <v>0</v>
      </c>
      <c r="G14" s="95">
        <f>'10.Grain Production details'!G68</f>
        <v>0</v>
      </c>
      <c r="H14" s="95">
        <f>'10.Grain Production details'!H68</f>
        <v>0</v>
      </c>
    </row>
    <row r="15" spans="1:8">
      <c r="A15" s="95" t="str">
        <f>'10.Grain Production details'!A69</f>
        <v>Paddy/Rice</v>
      </c>
      <c r="B15" s="95">
        <f>'10.Grain Production details'!B69</f>
        <v>0</v>
      </c>
      <c r="C15" s="95">
        <f>'10.Grain Production details'!C69</f>
        <v>0</v>
      </c>
      <c r="D15" s="95">
        <f>'10.Grain Production details'!D69</f>
        <v>0</v>
      </c>
      <c r="E15" s="95">
        <f>'10.Grain Production details'!E69</f>
        <v>0</v>
      </c>
      <c r="F15" s="95">
        <f>'10.Grain Production details'!F69</f>
        <v>0</v>
      </c>
      <c r="G15" s="95">
        <f>'10.Grain Production details'!G69</f>
        <v>0</v>
      </c>
      <c r="H15" s="95">
        <f>'10.Grain Production details'!H69</f>
        <v>0</v>
      </c>
    </row>
    <row r="16" spans="1:8">
      <c r="A16" s="95" t="str">
        <f>'10.Grain Production details'!A70</f>
        <v>Green Gram/ Moong</v>
      </c>
      <c r="B16" s="95">
        <f>'10.Grain Production details'!B70</f>
        <v>0</v>
      </c>
      <c r="C16" s="95">
        <f>'10.Grain Production details'!C70</f>
        <v>0</v>
      </c>
      <c r="D16" s="95">
        <f>'10.Grain Production details'!D70</f>
        <v>0</v>
      </c>
      <c r="E16" s="95">
        <f>'10.Grain Production details'!E70</f>
        <v>0</v>
      </c>
      <c r="F16" s="95">
        <f>'10.Grain Production details'!F70</f>
        <v>0</v>
      </c>
      <c r="G16" s="95">
        <f>'10.Grain Production details'!G70</f>
        <v>0</v>
      </c>
      <c r="H16" s="95">
        <f>'10.Grain Production details'!H70</f>
        <v>0</v>
      </c>
    </row>
    <row r="17" spans="1:8">
      <c r="A17" s="95" t="str">
        <f>'10.Grain Production details'!A71</f>
        <v>Maize</v>
      </c>
      <c r="B17" s="95">
        <f>'10.Grain Production details'!B71</f>
        <v>0</v>
      </c>
      <c r="C17" s="95">
        <f>'10.Grain Production details'!C71</f>
        <v>0</v>
      </c>
      <c r="D17" s="95">
        <f>'10.Grain Production details'!D71</f>
        <v>0</v>
      </c>
      <c r="E17" s="95">
        <f>'10.Grain Production details'!E71</f>
        <v>0</v>
      </c>
      <c r="F17" s="95">
        <f>'10.Grain Production details'!F71</f>
        <v>0</v>
      </c>
      <c r="G17" s="95">
        <f>'10.Grain Production details'!G71</f>
        <v>0</v>
      </c>
      <c r="H17" s="95">
        <f>'10.Grain Production details'!H71</f>
        <v>0</v>
      </c>
    </row>
    <row r="18" spans="1:8">
      <c r="A18" s="95" t="str">
        <f>'10.Grain Production details'!A72</f>
        <v>Black Gram/Udid</v>
      </c>
      <c r="B18" s="95">
        <f>'10.Grain Production details'!B72</f>
        <v>0</v>
      </c>
      <c r="C18" s="95">
        <f>'10.Grain Production details'!C72</f>
        <v>0</v>
      </c>
      <c r="D18" s="95">
        <f>'10.Grain Production details'!D72</f>
        <v>0</v>
      </c>
      <c r="E18" s="95">
        <f>'10.Grain Production details'!E72</f>
        <v>0</v>
      </c>
      <c r="F18" s="95">
        <f>'10.Grain Production details'!F72</f>
        <v>0</v>
      </c>
      <c r="G18" s="95">
        <f>'10.Grain Production details'!G72</f>
        <v>0</v>
      </c>
      <c r="H18" s="95">
        <f>'10.Grain Production details'!H72</f>
        <v>0</v>
      </c>
    </row>
    <row r="19" spans="1:8">
      <c r="A19" s="95" t="str">
        <f>'10.Grain Production details'!A73</f>
        <v>Bajra</v>
      </c>
      <c r="B19" s="95">
        <f>'10.Grain Production details'!B73</f>
        <v>0</v>
      </c>
      <c r="C19" s="95">
        <f>'10.Grain Production details'!C73</f>
        <v>0</v>
      </c>
      <c r="D19" s="95">
        <f>'10.Grain Production details'!D73</f>
        <v>0</v>
      </c>
      <c r="E19" s="95">
        <f>'10.Grain Production details'!E73</f>
        <v>0</v>
      </c>
      <c r="F19" s="95">
        <f>'10.Grain Production details'!F73</f>
        <v>0</v>
      </c>
      <c r="G19" s="95">
        <f>'10.Grain Production details'!G73</f>
        <v>0</v>
      </c>
      <c r="H19" s="95">
        <f>'10.Grain Production details'!H73</f>
        <v>0</v>
      </c>
    </row>
    <row r="20" spans="1:8">
      <c r="A20" s="95" t="str">
        <f>'10.Grain Production details'!A74</f>
        <v>Jawar</v>
      </c>
      <c r="B20" s="95">
        <f>'10.Grain Production details'!B74</f>
        <v>0</v>
      </c>
      <c r="C20" s="95">
        <f>'10.Grain Production details'!C74</f>
        <v>0</v>
      </c>
      <c r="D20" s="95">
        <f>'10.Grain Production details'!D74</f>
        <v>0</v>
      </c>
      <c r="E20" s="95">
        <f>'10.Grain Production details'!E74</f>
        <v>0</v>
      </c>
      <c r="F20" s="95">
        <f>'10.Grain Production details'!F74</f>
        <v>0</v>
      </c>
      <c r="G20" s="95">
        <f>'10.Grain Production details'!G74</f>
        <v>0</v>
      </c>
      <c r="H20" s="95">
        <f>'10.Grain Production details'!H74</f>
        <v>0</v>
      </c>
    </row>
    <row r="21" spans="1:8">
      <c r="A21" s="95" t="str">
        <f>'10.Grain Production details'!A75</f>
        <v>Sunflower</v>
      </c>
      <c r="B21" s="95">
        <f>'10.Grain Production details'!B75</f>
        <v>0</v>
      </c>
      <c r="C21" s="95">
        <f>'10.Grain Production details'!C75</f>
        <v>0</v>
      </c>
      <c r="D21" s="95">
        <f>'10.Grain Production details'!D75</f>
        <v>0</v>
      </c>
      <c r="E21" s="95">
        <f>'10.Grain Production details'!E75</f>
        <v>0</v>
      </c>
      <c r="F21" s="95">
        <f>'10.Grain Production details'!F75</f>
        <v>0</v>
      </c>
      <c r="G21" s="95">
        <f>'10.Grain Production details'!G75</f>
        <v>0</v>
      </c>
      <c r="H21" s="95">
        <f>'10.Grain Production details'!H75</f>
        <v>0</v>
      </c>
    </row>
    <row r="22" spans="1:8">
      <c r="A22" s="95" t="str">
        <f>'10.Grain Production details'!A76</f>
        <v>Wheat</v>
      </c>
      <c r="B22" s="95">
        <f>'10.Grain Production details'!B76</f>
        <v>0</v>
      </c>
      <c r="C22" s="95">
        <f>'10.Grain Production details'!C76</f>
        <v>0</v>
      </c>
      <c r="D22" s="95">
        <f>'10.Grain Production details'!D76</f>
        <v>0</v>
      </c>
      <c r="E22" s="95">
        <f>'10.Grain Production details'!E76</f>
        <v>0</v>
      </c>
      <c r="F22" s="95">
        <f>'10.Grain Production details'!F76</f>
        <v>0</v>
      </c>
      <c r="G22" s="95">
        <f>'10.Grain Production details'!G76</f>
        <v>0</v>
      </c>
      <c r="H22" s="95">
        <f>'10.Grain Production details'!H76</f>
        <v>0</v>
      </c>
    </row>
    <row r="23" spans="1:8">
      <c r="A23" s="95" t="str">
        <f>'10.Grain Production details'!A77</f>
        <v>Bengal Gram/Channa</v>
      </c>
      <c r="B23" s="95">
        <f>'10.Grain Production details'!B77</f>
        <v>0</v>
      </c>
      <c r="C23" s="95">
        <f>'10.Grain Production details'!C77</f>
        <v>0</v>
      </c>
      <c r="D23" s="95">
        <f>'10.Grain Production details'!D77</f>
        <v>0</v>
      </c>
      <c r="E23" s="95">
        <f>'10.Grain Production details'!E77</f>
        <v>0</v>
      </c>
      <c r="F23" s="95">
        <f>'10.Grain Production details'!F77</f>
        <v>0</v>
      </c>
      <c r="G23" s="95">
        <f>'10.Grain Production details'!G77</f>
        <v>0</v>
      </c>
      <c r="H23" s="95">
        <f>'10.Grain Production details'!H77</f>
        <v>0</v>
      </c>
    </row>
    <row r="24" spans="1:8">
      <c r="A24" s="95" t="str">
        <f>'10.Grain Production details'!A78</f>
        <v>Jawar</v>
      </c>
      <c r="B24" s="95">
        <f>'10.Grain Production details'!B78</f>
        <v>0</v>
      </c>
      <c r="C24" s="95">
        <f>'10.Grain Production details'!C78</f>
        <v>0</v>
      </c>
      <c r="D24" s="95">
        <f>'10.Grain Production details'!D78</f>
        <v>0</v>
      </c>
      <c r="E24" s="95">
        <f>'10.Grain Production details'!E78</f>
        <v>0</v>
      </c>
      <c r="F24" s="95">
        <f>'10.Grain Production details'!F78</f>
        <v>0</v>
      </c>
      <c r="G24" s="95">
        <f>'10.Grain Production details'!G78</f>
        <v>0</v>
      </c>
      <c r="H24" s="95">
        <f>'10.Grain Production details'!H78</f>
        <v>0</v>
      </c>
    </row>
    <row r="25" spans="1:8">
      <c r="A25" s="95" t="str">
        <f>'10.Grain Production details'!A79</f>
        <v>Maize</v>
      </c>
      <c r="B25" s="95">
        <f>'10.Grain Production details'!B79</f>
        <v>0</v>
      </c>
      <c r="C25" s="95">
        <f>'10.Grain Production details'!C79</f>
        <v>0</v>
      </c>
      <c r="D25" s="95">
        <f>'10.Grain Production details'!D79</f>
        <v>0</v>
      </c>
      <c r="E25" s="95">
        <f>'10.Grain Production details'!E79</f>
        <v>0</v>
      </c>
      <c r="F25" s="95">
        <f>'10.Grain Production details'!F79</f>
        <v>0</v>
      </c>
      <c r="G25" s="95">
        <f>'10.Grain Production details'!G79</f>
        <v>0</v>
      </c>
      <c r="H25" s="95">
        <f>'10.Grain Production details'!H79</f>
        <v>0</v>
      </c>
    </row>
    <row r="26" spans="1:8">
      <c r="A26" s="95" t="str">
        <f>'10.Grain Production details'!A80</f>
        <v>Safflower</v>
      </c>
      <c r="B26" s="95">
        <f>'10.Grain Production details'!B80</f>
        <v>0</v>
      </c>
      <c r="C26" s="95">
        <f>'10.Grain Production details'!C80</f>
        <v>0</v>
      </c>
      <c r="D26" s="95">
        <f>'10.Grain Production details'!D80</f>
        <v>0</v>
      </c>
      <c r="E26" s="95">
        <f>'10.Grain Production details'!E80</f>
        <v>0</v>
      </c>
      <c r="F26" s="95">
        <f>'10.Grain Production details'!F80</f>
        <v>0</v>
      </c>
      <c r="G26" s="95">
        <f>'10.Grain Production details'!G80</f>
        <v>0</v>
      </c>
      <c r="H26" s="95">
        <f>'10.Grain Production details'!H80</f>
        <v>0</v>
      </c>
    </row>
    <row r="27" spans="1:8">
      <c r="A27" s="95">
        <f>'10.Grain Production details'!A81</f>
        <v>0</v>
      </c>
      <c r="B27" s="95">
        <f>'10.Grain Production details'!B81</f>
        <v>0</v>
      </c>
      <c r="C27" s="95">
        <f>'10.Grain Production details'!C81</f>
        <v>0</v>
      </c>
      <c r="D27" s="95">
        <f>'10.Grain Production details'!D81</f>
        <v>0</v>
      </c>
      <c r="E27" s="95">
        <f>'10.Grain Production details'!E81</f>
        <v>0</v>
      </c>
      <c r="F27" s="95">
        <f>'10.Grain Production details'!F81</f>
        <v>0</v>
      </c>
      <c r="G27" s="95">
        <f>'10.Grain Production details'!G81</f>
        <v>0</v>
      </c>
      <c r="H27" s="95">
        <f>'10.Grain Production details'!H81</f>
        <v>0</v>
      </c>
    </row>
    <row r="28" spans="1:8">
      <c r="A28" s="95">
        <f>'10.Grain Production details'!A82</f>
        <v>0</v>
      </c>
      <c r="B28" s="95">
        <f>'10.Grain Production details'!B82</f>
        <v>0</v>
      </c>
      <c r="C28" s="95">
        <f>'10.Grain Production details'!C82</f>
        <v>0</v>
      </c>
      <c r="D28" s="95">
        <f>'10.Grain Production details'!D82</f>
        <v>0</v>
      </c>
      <c r="E28" s="95">
        <f>'10.Grain Production details'!E82</f>
        <v>0</v>
      </c>
      <c r="F28" s="95">
        <f>'10.Grain Production details'!F82</f>
        <v>0</v>
      </c>
      <c r="G28" s="95">
        <f>'10.Grain Production details'!G82</f>
        <v>0</v>
      </c>
      <c r="H28" s="95">
        <f>'10.Grain Production details'!H82</f>
        <v>0</v>
      </c>
    </row>
    <row r="29" spans="1:8">
      <c r="A29" s="95">
        <f>'10.Grain Production details'!A83</f>
        <v>0</v>
      </c>
      <c r="B29" s="95">
        <f>'10.Grain Production details'!B83</f>
        <v>0</v>
      </c>
      <c r="C29" s="95">
        <f>'10.Grain Production details'!C83</f>
        <v>0</v>
      </c>
      <c r="D29" s="95">
        <f>'10.Grain Production details'!D83</f>
        <v>0</v>
      </c>
      <c r="E29" s="95">
        <f>'10.Grain Production details'!E83</f>
        <v>0</v>
      </c>
      <c r="F29" s="95">
        <f>'10.Grain Production details'!F83</f>
        <v>0</v>
      </c>
      <c r="G29" s="95">
        <f>'10.Grain Production details'!G83</f>
        <v>0</v>
      </c>
      <c r="H29" s="95">
        <f>'10.Grain Production details'!H83</f>
        <v>0</v>
      </c>
    </row>
    <row r="30" spans="1:8">
      <c r="A30" s="95" t="str">
        <f>'10.Grain Production details'!A84</f>
        <v>Groundnut</v>
      </c>
      <c r="B30" s="95">
        <f>'10.Grain Production details'!B84</f>
        <v>0</v>
      </c>
      <c r="C30" s="95">
        <f>'10.Grain Production details'!C84</f>
        <v>0</v>
      </c>
      <c r="D30" s="95">
        <f>'10.Grain Production details'!D84</f>
        <v>0</v>
      </c>
      <c r="E30" s="95">
        <f>'10.Grain Production details'!E84</f>
        <v>0</v>
      </c>
      <c r="F30" s="95">
        <f>'10.Grain Production details'!F84</f>
        <v>0</v>
      </c>
      <c r="G30" s="95">
        <f>'10.Grain Production details'!G84</f>
        <v>0</v>
      </c>
      <c r="H30" s="95">
        <f>'10.Grain Production details'!H84</f>
        <v>0</v>
      </c>
    </row>
    <row r="31" spans="1:8">
      <c r="A31" s="95">
        <f>'10.Grain Production details'!A85</f>
        <v>0</v>
      </c>
      <c r="B31" s="95">
        <f>'10.Grain Production details'!B85</f>
        <v>0</v>
      </c>
      <c r="C31" s="95">
        <f>'10.Grain Production details'!C85</f>
        <v>0</v>
      </c>
      <c r="D31" s="95">
        <f>'10.Grain Production details'!D85</f>
        <v>0</v>
      </c>
      <c r="E31" s="95">
        <f>'10.Grain Production details'!E85</f>
        <v>0</v>
      </c>
      <c r="F31" s="95">
        <f>'10.Grain Production details'!F85</f>
        <v>0</v>
      </c>
      <c r="G31" s="95">
        <f>'10.Grain Production details'!G85</f>
        <v>0</v>
      </c>
      <c r="H31" s="95">
        <f>'10.Grain Production details'!H85</f>
        <v>0</v>
      </c>
    </row>
    <row r="32" spans="1:8">
      <c r="A32" s="95" t="s">
        <v>427</v>
      </c>
      <c r="B32" s="95">
        <f>SUM(B13:B31)</f>
        <v>0</v>
      </c>
      <c r="C32" s="95">
        <f t="shared" ref="C32:H32" si="1">SUM(C13:C31)</f>
        <v>0</v>
      </c>
      <c r="D32" s="95">
        <f t="shared" si="1"/>
        <v>0</v>
      </c>
      <c r="E32" s="95">
        <f t="shared" si="1"/>
        <v>0</v>
      </c>
      <c r="F32" s="95">
        <f t="shared" si="1"/>
        <v>0</v>
      </c>
      <c r="G32" s="95">
        <f t="shared" si="1"/>
        <v>0</v>
      </c>
      <c r="H32" s="95">
        <f t="shared" si="1"/>
        <v>0</v>
      </c>
    </row>
    <row r="33" spans="1:8">
      <c r="A33" s="326" t="s">
        <v>130</v>
      </c>
      <c r="B33" s="281">
        <v>0.5</v>
      </c>
      <c r="C33" s="281">
        <f>B33</f>
        <v>0.5</v>
      </c>
      <c r="D33" s="281">
        <f t="shared" ref="D33:H33" si="2">C33</f>
        <v>0.5</v>
      </c>
      <c r="E33" s="281">
        <f t="shared" si="2"/>
        <v>0.5</v>
      </c>
      <c r="F33" s="281">
        <f t="shared" si="2"/>
        <v>0.5</v>
      </c>
      <c r="G33" s="281">
        <f t="shared" si="2"/>
        <v>0.5</v>
      </c>
      <c r="H33" s="281">
        <f t="shared" si="2"/>
        <v>0.5</v>
      </c>
    </row>
    <row r="34" spans="1:8">
      <c r="A34" s="99" t="s">
        <v>437</v>
      </c>
      <c r="B34" s="327">
        <f>1-B33</f>
        <v>0.5</v>
      </c>
      <c r="C34" s="327">
        <f t="shared" ref="C34:H34" si="3">1-C33</f>
        <v>0.5</v>
      </c>
      <c r="D34" s="327">
        <f t="shared" si="3"/>
        <v>0.5</v>
      </c>
      <c r="E34" s="327">
        <f t="shared" si="3"/>
        <v>0.5</v>
      </c>
      <c r="F34" s="327">
        <f t="shared" si="3"/>
        <v>0.5</v>
      </c>
      <c r="G34" s="327">
        <f t="shared" si="3"/>
        <v>0.5</v>
      </c>
      <c r="H34" s="327">
        <f t="shared" si="3"/>
        <v>0.5</v>
      </c>
    </row>
    <row r="35" spans="1:8">
      <c r="A35" s="97" t="s">
        <v>130</v>
      </c>
      <c r="B35" s="260">
        <f>B32*B33</f>
        <v>0</v>
      </c>
      <c r="C35" s="260">
        <f t="shared" ref="C35:H35" si="4">C32*C33</f>
        <v>0</v>
      </c>
      <c r="D35" s="260">
        <f t="shared" si="4"/>
        <v>0</v>
      </c>
      <c r="E35" s="260">
        <f t="shared" si="4"/>
        <v>0</v>
      </c>
      <c r="F35" s="260">
        <f t="shared" si="4"/>
        <v>0</v>
      </c>
      <c r="G35" s="260">
        <f t="shared" si="4"/>
        <v>0</v>
      </c>
      <c r="H35" s="260">
        <f t="shared" si="4"/>
        <v>0</v>
      </c>
    </row>
    <row r="36" spans="1:8">
      <c r="A36" s="97" t="s">
        <v>131</v>
      </c>
      <c r="B36" s="115"/>
      <c r="C36" s="115"/>
      <c r="D36" s="115"/>
      <c r="E36" s="115"/>
      <c r="F36" s="115"/>
      <c r="G36" s="115"/>
      <c r="H36" s="115"/>
    </row>
    <row r="37" spans="1:8">
      <c r="A37" s="95" t="str">
        <f t="shared" ref="A37:A55" si="5">A13</f>
        <v>Soybean</v>
      </c>
      <c r="B37" s="96">
        <f t="shared" ref="B37:B55" si="6">B13*$B$34</f>
        <v>0</v>
      </c>
      <c r="C37" s="96">
        <f t="shared" ref="C37:H37" si="7">C13*$B$34</f>
        <v>0</v>
      </c>
      <c r="D37" s="96">
        <f t="shared" si="7"/>
        <v>0</v>
      </c>
      <c r="E37" s="96">
        <f t="shared" si="7"/>
        <v>0</v>
      </c>
      <c r="F37" s="96">
        <f t="shared" si="7"/>
        <v>0</v>
      </c>
      <c r="G37" s="96">
        <f t="shared" si="7"/>
        <v>0</v>
      </c>
      <c r="H37" s="96">
        <f t="shared" si="7"/>
        <v>0</v>
      </c>
    </row>
    <row r="38" spans="1:8">
      <c r="A38" s="95" t="str">
        <f t="shared" si="5"/>
        <v>Red Gram/Tur</v>
      </c>
      <c r="B38" s="96">
        <f t="shared" si="6"/>
        <v>0</v>
      </c>
      <c r="C38" s="96">
        <f t="shared" ref="C38:C55" si="8">C14*$C$34</f>
        <v>0</v>
      </c>
      <c r="D38" s="96">
        <f t="shared" ref="D38:D55" si="9">D14*$D$34</f>
        <v>0</v>
      </c>
      <c r="E38" s="96">
        <f t="shared" ref="E38:E55" si="10">E14*$E$34</f>
        <v>0</v>
      </c>
      <c r="F38" s="96">
        <f t="shared" ref="F38:F55" si="11">F14*$F$34</f>
        <v>0</v>
      </c>
      <c r="G38" s="96">
        <f t="shared" ref="G38:G55" si="12">G14*$G$34</f>
        <v>0</v>
      </c>
      <c r="H38" s="96">
        <f t="shared" ref="H38:H55" si="13">H14*$H$34</f>
        <v>0</v>
      </c>
    </row>
    <row r="39" spans="1:8">
      <c r="A39" s="95" t="str">
        <f t="shared" si="5"/>
        <v>Paddy/Rice</v>
      </c>
      <c r="B39" s="96">
        <f t="shared" si="6"/>
        <v>0</v>
      </c>
      <c r="C39" s="96">
        <f t="shared" si="8"/>
        <v>0</v>
      </c>
      <c r="D39" s="96">
        <f t="shared" si="9"/>
        <v>0</v>
      </c>
      <c r="E39" s="96">
        <f t="shared" si="10"/>
        <v>0</v>
      </c>
      <c r="F39" s="96">
        <f t="shared" si="11"/>
        <v>0</v>
      </c>
      <c r="G39" s="96">
        <f t="shared" si="12"/>
        <v>0</v>
      </c>
      <c r="H39" s="96">
        <f t="shared" si="13"/>
        <v>0</v>
      </c>
    </row>
    <row r="40" spans="1:8">
      <c r="A40" s="95" t="str">
        <f t="shared" si="5"/>
        <v>Green Gram/ Moong</v>
      </c>
      <c r="B40" s="96">
        <f t="shared" si="6"/>
        <v>0</v>
      </c>
      <c r="C40" s="96">
        <f t="shared" si="8"/>
        <v>0</v>
      </c>
      <c r="D40" s="96">
        <f t="shared" si="9"/>
        <v>0</v>
      </c>
      <c r="E40" s="96">
        <f t="shared" si="10"/>
        <v>0</v>
      </c>
      <c r="F40" s="96">
        <f t="shared" si="11"/>
        <v>0</v>
      </c>
      <c r="G40" s="96">
        <f t="shared" si="12"/>
        <v>0</v>
      </c>
      <c r="H40" s="96">
        <f t="shared" si="13"/>
        <v>0</v>
      </c>
    </row>
    <row r="41" spans="1:8">
      <c r="A41" s="95" t="str">
        <f t="shared" si="5"/>
        <v>Maize</v>
      </c>
      <c r="B41" s="96">
        <f t="shared" si="6"/>
        <v>0</v>
      </c>
      <c r="C41" s="96">
        <f t="shared" si="8"/>
        <v>0</v>
      </c>
      <c r="D41" s="96">
        <f t="shared" si="9"/>
        <v>0</v>
      </c>
      <c r="E41" s="96">
        <f t="shared" si="10"/>
        <v>0</v>
      </c>
      <c r="F41" s="96">
        <f t="shared" si="11"/>
        <v>0</v>
      </c>
      <c r="G41" s="96">
        <f t="shared" si="12"/>
        <v>0</v>
      </c>
      <c r="H41" s="96">
        <f t="shared" si="13"/>
        <v>0</v>
      </c>
    </row>
    <row r="42" spans="1:8">
      <c r="A42" s="95" t="str">
        <f t="shared" si="5"/>
        <v>Black Gram/Udid</v>
      </c>
      <c r="B42" s="96">
        <f t="shared" si="6"/>
        <v>0</v>
      </c>
      <c r="C42" s="96">
        <f t="shared" si="8"/>
        <v>0</v>
      </c>
      <c r="D42" s="96">
        <f t="shared" si="9"/>
        <v>0</v>
      </c>
      <c r="E42" s="96">
        <f t="shared" si="10"/>
        <v>0</v>
      </c>
      <c r="F42" s="96">
        <f t="shared" si="11"/>
        <v>0</v>
      </c>
      <c r="G42" s="96">
        <f t="shared" si="12"/>
        <v>0</v>
      </c>
      <c r="H42" s="96">
        <f t="shared" si="13"/>
        <v>0</v>
      </c>
    </row>
    <row r="43" spans="1:8">
      <c r="A43" s="95" t="str">
        <f t="shared" si="5"/>
        <v>Bajra</v>
      </c>
      <c r="B43" s="96">
        <f t="shared" si="6"/>
        <v>0</v>
      </c>
      <c r="C43" s="96">
        <f t="shared" si="8"/>
        <v>0</v>
      </c>
      <c r="D43" s="96">
        <f t="shared" si="9"/>
        <v>0</v>
      </c>
      <c r="E43" s="96">
        <f t="shared" si="10"/>
        <v>0</v>
      </c>
      <c r="F43" s="96">
        <f t="shared" si="11"/>
        <v>0</v>
      </c>
      <c r="G43" s="96">
        <f t="shared" si="12"/>
        <v>0</v>
      </c>
      <c r="H43" s="96">
        <f t="shared" si="13"/>
        <v>0</v>
      </c>
    </row>
    <row r="44" spans="1:8">
      <c r="A44" s="95" t="str">
        <f t="shared" si="5"/>
        <v>Jawar</v>
      </c>
      <c r="B44" s="96">
        <f t="shared" si="6"/>
        <v>0</v>
      </c>
      <c r="C44" s="96">
        <f t="shared" si="8"/>
        <v>0</v>
      </c>
      <c r="D44" s="96">
        <f t="shared" si="9"/>
        <v>0</v>
      </c>
      <c r="E44" s="96">
        <f t="shared" si="10"/>
        <v>0</v>
      </c>
      <c r="F44" s="96">
        <f t="shared" si="11"/>
        <v>0</v>
      </c>
      <c r="G44" s="96">
        <f t="shared" si="12"/>
        <v>0</v>
      </c>
      <c r="H44" s="96">
        <f t="shared" si="13"/>
        <v>0</v>
      </c>
    </row>
    <row r="45" spans="1:8">
      <c r="A45" s="95" t="str">
        <f t="shared" si="5"/>
        <v>Sunflower</v>
      </c>
      <c r="B45" s="96">
        <f t="shared" si="6"/>
        <v>0</v>
      </c>
      <c r="C45" s="96">
        <f t="shared" si="8"/>
        <v>0</v>
      </c>
      <c r="D45" s="96">
        <f t="shared" si="9"/>
        <v>0</v>
      </c>
      <c r="E45" s="96">
        <f t="shared" si="10"/>
        <v>0</v>
      </c>
      <c r="F45" s="96">
        <f t="shared" si="11"/>
        <v>0</v>
      </c>
      <c r="G45" s="96">
        <f t="shared" si="12"/>
        <v>0</v>
      </c>
      <c r="H45" s="96">
        <f t="shared" si="13"/>
        <v>0</v>
      </c>
    </row>
    <row r="46" spans="1:8">
      <c r="A46" s="95" t="str">
        <f t="shared" si="5"/>
        <v>Wheat</v>
      </c>
      <c r="B46" s="96">
        <f t="shared" si="6"/>
        <v>0</v>
      </c>
      <c r="C46" s="96">
        <f t="shared" si="8"/>
        <v>0</v>
      </c>
      <c r="D46" s="96">
        <f t="shared" si="9"/>
        <v>0</v>
      </c>
      <c r="E46" s="96">
        <f t="shared" si="10"/>
        <v>0</v>
      </c>
      <c r="F46" s="96">
        <f t="shared" si="11"/>
        <v>0</v>
      </c>
      <c r="G46" s="96">
        <f t="shared" si="12"/>
        <v>0</v>
      </c>
      <c r="H46" s="96">
        <f t="shared" si="13"/>
        <v>0</v>
      </c>
    </row>
    <row r="47" spans="1:8">
      <c r="A47" s="95" t="str">
        <f t="shared" si="5"/>
        <v>Bengal Gram/Channa</v>
      </c>
      <c r="B47" s="96">
        <f t="shared" si="6"/>
        <v>0</v>
      </c>
      <c r="C47" s="96">
        <f t="shared" si="8"/>
        <v>0</v>
      </c>
      <c r="D47" s="96">
        <f t="shared" si="9"/>
        <v>0</v>
      </c>
      <c r="E47" s="96">
        <f t="shared" si="10"/>
        <v>0</v>
      </c>
      <c r="F47" s="96">
        <f t="shared" si="11"/>
        <v>0</v>
      </c>
      <c r="G47" s="96">
        <f t="shared" si="12"/>
        <v>0</v>
      </c>
      <c r="H47" s="96">
        <f t="shared" si="13"/>
        <v>0</v>
      </c>
    </row>
    <row r="48" spans="1:8">
      <c r="A48" s="95" t="str">
        <f t="shared" si="5"/>
        <v>Jawar</v>
      </c>
      <c r="B48" s="96">
        <f t="shared" si="6"/>
        <v>0</v>
      </c>
      <c r="C48" s="96">
        <f t="shared" si="8"/>
        <v>0</v>
      </c>
      <c r="D48" s="96">
        <f t="shared" si="9"/>
        <v>0</v>
      </c>
      <c r="E48" s="96">
        <f t="shared" si="10"/>
        <v>0</v>
      </c>
      <c r="F48" s="96">
        <f t="shared" si="11"/>
        <v>0</v>
      </c>
      <c r="G48" s="96">
        <f t="shared" si="12"/>
        <v>0</v>
      </c>
      <c r="H48" s="96">
        <f t="shared" si="13"/>
        <v>0</v>
      </c>
    </row>
    <row r="49" spans="1:8">
      <c r="A49" s="95" t="str">
        <f t="shared" si="5"/>
        <v>Maize</v>
      </c>
      <c r="B49" s="96">
        <f t="shared" si="6"/>
        <v>0</v>
      </c>
      <c r="C49" s="96">
        <f t="shared" si="8"/>
        <v>0</v>
      </c>
      <c r="D49" s="96">
        <f t="shared" si="9"/>
        <v>0</v>
      </c>
      <c r="E49" s="96">
        <f t="shared" si="10"/>
        <v>0</v>
      </c>
      <c r="F49" s="96">
        <f t="shared" si="11"/>
        <v>0</v>
      </c>
      <c r="G49" s="96">
        <f t="shared" si="12"/>
        <v>0</v>
      </c>
      <c r="H49" s="96">
        <f t="shared" si="13"/>
        <v>0</v>
      </c>
    </row>
    <row r="50" spans="1:8">
      <c r="A50" s="95" t="str">
        <f t="shared" si="5"/>
        <v>Safflower</v>
      </c>
      <c r="B50" s="96">
        <f t="shared" si="6"/>
        <v>0</v>
      </c>
      <c r="C50" s="96">
        <f t="shared" si="8"/>
        <v>0</v>
      </c>
      <c r="D50" s="96">
        <f t="shared" si="9"/>
        <v>0</v>
      </c>
      <c r="E50" s="96">
        <f t="shared" si="10"/>
        <v>0</v>
      </c>
      <c r="F50" s="96">
        <f t="shared" si="11"/>
        <v>0</v>
      </c>
      <c r="G50" s="96">
        <f t="shared" si="12"/>
        <v>0</v>
      </c>
      <c r="H50" s="96">
        <f t="shared" si="13"/>
        <v>0</v>
      </c>
    </row>
    <row r="51" spans="1:8">
      <c r="A51" s="95">
        <f t="shared" si="5"/>
        <v>0</v>
      </c>
      <c r="B51" s="96">
        <f t="shared" si="6"/>
        <v>0</v>
      </c>
      <c r="C51" s="96">
        <f t="shared" si="8"/>
        <v>0</v>
      </c>
      <c r="D51" s="96">
        <f t="shared" si="9"/>
        <v>0</v>
      </c>
      <c r="E51" s="96">
        <f t="shared" si="10"/>
        <v>0</v>
      </c>
      <c r="F51" s="96">
        <f t="shared" si="11"/>
        <v>0</v>
      </c>
      <c r="G51" s="96">
        <f t="shared" si="12"/>
        <v>0</v>
      </c>
      <c r="H51" s="96">
        <f t="shared" si="13"/>
        <v>0</v>
      </c>
    </row>
    <row r="52" spans="1:8">
      <c r="A52" s="95">
        <f t="shared" si="5"/>
        <v>0</v>
      </c>
      <c r="B52" s="96">
        <f t="shared" si="6"/>
        <v>0</v>
      </c>
      <c r="C52" s="96">
        <f t="shared" si="8"/>
        <v>0</v>
      </c>
      <c r="D52" s="96">
        <f t="shared" si="9"/>
        <v>0</v>
      </c>
      <c r="E52" s="96">
        <f t="shared" si="10"/>
        <v>0</v>
      </c>
      <c r="F52" s="96">
        <f t="shared" si="11"/>
        <v>0</v>
      </c>
      <c r="G52" s="96">
        <f t="shared" si="12"/>
        <v>0</v>
      </c>
      <c r="H52" s="96">
        <f t="shared" si="13"/>
        <v>0</v>
      </c>
    </row>
    <row r="53" spans="1:8">
      <c r="A53" s="95">
        <f t="shared" si="5"/>
        <v>0</v>
      </c>
      <c r="B53" s="96">
        <f t="shared" si="6"/>
        <v>0</v>
      </c>
      <c r="C53" s="96">
        <f t="shared" si="8"/>
        <v>0</v>
      </c>
      <c r="D53" s="96">
        <f t="shared" si="9"/>
        <v>0</v>
      </c>
      <c r="E53" s="96">
        <f t="shared" si="10"/>
        <v>0</v>
      </c>
      <c r="F53" s="96">
        <f t="shared" si="11"/>
        <v>0</v>
      </c>
      <c r="G53" s="96">
        <f t="shared" si="12"/>
        <v>0</v>
      </c>
      <c r="H53" s="96">
        <f t="shared" si="13"/>
        <v>0</v>
      </c>
    </row>
    <row r="54" spans="1:8">
      <c r="A54" s="95" t="str">
        <f t="shared" si="5"/>
        <v>Groundnut</v>
      </c>
      <c r="B54" s="96">
        <f t="shared" si="6"/>
        <v>0</v>
      </c>
      <c r="C54" s="96">
        <f t="shared" si="8"/>
        <v>0</v>
      </c>
      <c r="D54" s="96">
        <f t="shared" si="9"/>
        <v>0</v>
      </c>
      <c r="E54" s="96">
        <f t="shared" si="10"/>
        <v>0</v>
      </c>
      <c r="F54" s="96">
        <f t="shared" si="11"/>
        <v>0</v>
      </c>
      <c r="G54" s="96">
        <f t="shared" si="12"/>
        <v>0</v>
      </c>
      <c r="H54" s="96">
        <f t="shared" si="13"/>
        <v>0</v>
      </c>
    </row>
    <row r="55" spans="1:8">
      <c r="A55" s="95">
        <f t="shared" si="5"/>
        <v>0</v>
      </c>
      <c r="B55" s="96">
        <f t="shared" si="6"/>
        <v>0</v>
      </c>
      <c r="C55" s="96">
        <f t="shared" si="8"/>
        <v>0</v>
      </c>
      <c r="D55" s="96">
        <f t="shared" si="9"/>
        <v>0</v>
      </c>
      <c r="E55" s="96">
        <f t="shared" si="10"/>
        <v>0</v>
      </c>
      <c r="F55" s="96">
        <f t="shared" si="11"/>
        <v>0</v>
      </c>
      <c r="G55" s="96">
        <f t="shared" si="12"/>
        <v>0</v>
      </c>
      <c r="H55" s="96">
        <f t="shared" si="13"/>
        <v>0</v>
      </c>
    </row>
    <row r="56" spans="1:8">
      <c r="A56" s="95"/>
      <c r="B56" s="95"/>
      <c r="C56" s="95"/>
      <c r="D56" s="95"/>
      <c r="E56" s="95"/>
      <c r="F56" s="95"/>
      <c r="G56" s="95"/>
      <c r="H56" s="95"/>
    </row>
    <row r="57" spans="1:8">
      <c r="A57" s="97" t="s">
        <v>240</v>
      </c>
      <c r="B57" s="95"/>
      <c r="C57" s="95"/>
      <c r="D57" s="95"/>
      <c r="E57" s="95"/>
      <c r="F57" s="95"/>
      <c r="G57" s="95"/>
      <c r="H57" s="95"/>
    </row>
    <row r="58" spans="1:8">
      <c r="A58" s="95" t="str">
        <f>A37</f>
        <v>Soybean</v>
      </c>
      <c r="B58" s="95"/>
      <c r="C58" s="95"/>
      <c r="D58" s="95"/>
      <c r="E58" s="95"/>
      <c r="F58" s="95"/>
      <c r="G58" s="95"/>
      <c r="H58" s="95"/>
    </row>
    <row r="59" spans="1:8">
      <c r="A59" s="95"/>
      <c r="B59" s="95"/>
      <c r="C59" s="95"/>
      <c r="D59" s="95"/>
      <c r="E59" s="95"/>
      <c r="F59" s="95"/>
      <c r="G59" s="95"/>
      <c r="H59" s="95"/>
    </row>
    <row r="60" spans="1:8">
      <c r="A60" s="95"/>
      <c r="B60" s="95"/>
      <c r="C60" s="95"/>
      <c r="D60" s="95"/>
      <c r="E60" s="95"/>
      <c r="F60" s="95"/>
      <c r="G60" s="95"/>
      <c r="H60" s="95"/>
    </row>
    <row r="61" spans="1:8">
      <c r="A61" s="95"/>
      <c r="B61" s="95"/>
      <c r="C61" s="95"/>
      <c r="D61" s="95"/>
      <c r="E61" s="95"/>
      <c r="F61" s="95"/>
      <c r="G61" s="95"/>
      <c r="H61" s="95"/>
    </row>
    <row r="62" spans="1:8">
      <c r="A62" s="95" t="str">
        <f>A38</f>
        <v>Red Gram/Tur</v>
      </c>
      <c r="B62" s="191"/>
      <c r="C62" s="191"/>
      <c r="D62" s="191"/>
      <c r="E62" s="191"/>
      <c r="F62" s="191"/>
      <c r="G62" s="191"/>
      <c r="H62" s="191"/>
    </row>
    <row r="63" spans="1:8">
      <c r="A63" s="95" t="s">
        <v>428</v>
      </c>
      <c r="B63" s="191">
        <f>B38*80%</f>
        <v>0</v>
      </c>
      <c r="C63" s="191">
        <f t="shared" ref="C63:H63" si="14">C38*80%</f>
        <v>0</v>
      </c>
      <c r="D63" s="191">
        <f t="shared" si="14"/>
        <v>0</v>
      </c>
      <c r="E63" s="191">
        <f t="shared" si="14"/>
        <v>0</v>
      </c>
      <c r="F63" s="191">
        <f t="shared" si="14"/>
        <v>0</v>
      </c>
      <c r="G63" s="191">
        <f t="shared" si="14"/>
        <v>0</v>
      </c>
      <c r="H63" s="191">
        <f t="shared" si="14"/>
        <v>0</v>
      </c>
    </row>
    <row r="64" spans="1:8">
      <c r="A64" s="95" t="s">
        <v>106</v>
      </c>
      <c r="B64" s="191">
        <f>B38*20%</f>
        <v>0</v>
      </c>
      <c r="C64" s="191">
        <f t="shared" ref="C64:H64" si="15">C38*20%</f>
        <v>0</v>
      </c>
      <c r="D64" s="191">
        <f t="shared" si="15"/>
        <v>0</v>
      </c>
      <c r="E64" s="191">
        <f t="shared" si="15"/>
        <v>0</v>
      </c>
      <c r="F64" s="191">
        <f t="shared" si="15"/>
        <v>0</v>
      </c>
      <c r="G64" s="191">
        <f t="shared" si="15"/>
        <v>0</v>
      </c>
      <c r="H64" s="191">
        <f t="shared" si="15"/>
        <v>0</v>
      </c>
    </row>
    <row r="65" spans="1:8">
      <c r="A65" s="95" t="str">
        <f>A39</f>
        <v>Paddy/Rice</v>
      </c>
      <c r="B65" s="96"/>
      <c r="C65" s="96"/>
      <c r="D65" s="96"/>
      <c r="E65" s="96"/>
      <c r="F65" s="96"/>
      <c r="G65" s="96"/>
      <c r="H65" s="96"/>
    </row>
    <row r="66" spans="1:8">
      <c r="A66" s="95"/>
      <c r="B66" s="96"/>
      <c r="C66" s="96"/>
      <c r="D66" s="96"/>
      <c r="E66" s="96"/>
      <c r="F66" s="96"/>
      <c r="G66" s="96"/>
      <c r="H66" s="96"/>
    </row>
    <row r="67" spans="1:8">
      <c r="A67" s="95"/>
      <c r="B67" s="96"/>
      <c r="C67" s="96"/>
      <c r="D67" s="96"/>
      <c r="E67" s="96"/>
      <c r="F67" s="96"/>
      <c r="G67" s="96"/>
      <c r="H67" s="96"/>
    </row>
    <row r="68" spans="1:8">
      <c r="A68" s="95"/>
      <c r="B68" s="96"/>
      <c r="C68" s="96"/>
      <c r="D68" s="96"/>
      <c r="E68" s="96"/>
      <c r="F68" s="96"/>
      <c r="G68" s="96"/>
      <c r="H68" s="96"/>
    </row>
    <row r="69" spans="1:8">
      <c r="A69" s="95" t="str">
        <f>A40</f>
        <v>Green Gram/ Moong</v>
      </c>
      <c r="B69" s="96"/>
      <c r="C69" s="96"/>
      <c r="D69" s="96"/>
      <c r="E69" s="96"/>
      <c r="F69" s="96"/>
      <c r="G69" s="96"/>
      <c r="H69" s="96"/>
    </row>
    <row r="70" spans="1:8">
      <c r="A70" s="95" t="s">
        <v>428</v>
      </c>
      <c r="B70" s="96">
        <f>B40*80%</f>
        <v>0</v>
      </c>
      <c r="C70" s="96">
        <f t="shared" ref="C70:H70" si="16">C40*80%</f>
        <v>0</v>
      </c>
      <c r="D70" s="96">
        <f t="shared" si="16"/>
        <v>0</v>
      </c>
      <c r="E70" s="96">
        <f t="shared" si="16"/>
        <v>0</v>
      </c>
      <c r="F70" s="96">
        <f t="shared" si="16"/>
        <v>0</v>
      </c>
      <c r="G70" s="96">
        <f t="shared" si="16"/>
        <v>0</v>
      </c>
      <c r="H70" s="96">
        <f t="shared" si="16"/>
        <v>0</v>
      </c>
    </row>
    <row r="71" spans="1:8">
      <c r="A71" s="95" t="s">
        <v>106</v>
      </c>
      <c r="B71" s="96">
        <f>B40*20%</f>
        <v>0</v>
      </c>
      <c r="C71" s="96">
        <f t="shared" ref="C71:H71" si="17">C40*20%</f>
        <v>0</v>
      </c>
      <c r="D71" s="96">
        <f t="shared" si="17"/>
        <v>0</v>
      </c>
      <c r="E71" s="96">
        <f t="shared" si="17"/>
        <v>0</v>
      </c>
      <c r="F71" s="96">
        <f t="shared" si="17"/>
        <v>0</v>
      </c>
      <c r="G71" s="96">
        <f t="shared" si="17"/>
        <v>0</v>
      </c>
      <c r="H71" s="96">
        <f t="shared" si="17"/>
        <v>0</v>
      </c>
    </row>
    <row r="72" spans="1:8">
      <c r="A72" s="95" t="str">
        <f>A41</f>
        <v>Maize</v>
      </c>
      <c r="B72" s="96"/>
      <c r="C72" s="96"/>
      <c r="D72" s="96"/>
      <c r="E72" s="96"/>
      <c r="F72" s="96"/>
      <c r="G72" s="96"/>
      <c r="H72" s="96"/>
    </row>
    <row r="73" spans="1:8">
      <c r="A73" s="95"/>
      <c r="B73" s="96"/>
      <c r="C73" s="96"/>
      <c r="D73" s="96"/>
      <c r="E73" s="96"/>
      <c r="F73" s="96"/>
      <c r="G73" s="96"/>
      <c r="H73" s="96"/>
    </row>
    <row r="74" spans="1:8">
      <c r="A74" s="95"/>
      <c r="B74" s="96"/>
      <c r="C74" s="96"/>
      <c r="D74" s="96"/>
      <c r="E74" s="96"/>
      <c r="F74" s="96"/>
      <c r="G74" s="96"/>
      <c r="H74" s="96"/>
    </row>
    <row r="75" spans="1:8">
      <c r="A75" s="95"/>
      <c r="B75" s="96"/>
      <c r="C75" s="96"/>
      <c r="D75" s="96"/>
      <c r="E75" s="96"/>
      <c r="F75" s="96"/>
      <c r="G75" s="96"/>
      <c r="H75" s="96"/>
    </row>
    <row r="76" spans="1:8">
      <c r="A76" s="95"/>
      <c r="B76" s="96"/>
      <c r="C76" s="96"/>
      <c r="D76" s="96"/>
      <c r="E76" s="96"/>
      <c r="F76" s="96"/>
      <c r="G76" s="96"/>
      <c r="H76" s="96"/>
    </row>
    <row r="77" spans="1:8">
      <c r="A77" s="95" t="str">
        <f>A42</f>
        <v>Black Gram/Udid</v>
      </c>
      <c r="B77" s="96"/>
      <c r="C77" s="96"/>
      <c r="D77" s="96"/>
      <c r="E77" s="96"/>
      <c r="F77" s="96"/>
      <c r="G77" s="96"/>
      <c r="H77" s="96"/>
    </row>
    <row r="78" spans="1:8">
      <c r="A78" s="95" t="s">
        <v>428</v>
      </c>
      <c r="B78" s="96">
        <f t="shared" ref="B78:H78" si="18">B42*80%</f>
        <v>0</v>
      </c>
      <c r="C78" s="96">
        <f t="shared" si="18"/>
        <v>0</v>
      </c>
      <c r="D78" s="96">
        <f t="shared" si="18"/>
        <v>0</v>
      </c>
      <c r="E78" s="96">
        <f t="shared" si="18"/>
        <v>0</v>
      </c>
      <c r="F78" s="96">
        <f t="shared" si="18"/>
        <v>0</v>
      </c>
      <c r="G78" s="96">
        <f t="shared" si="18"/>
        <v>0</v>
      </c>
      <c r="H78" s="96">
        <f t="shared" si="18"/>
        <v>0</v>
      </c>
    </row>
    <row r="79" spans="1:8">
      <c r="A79" s="95" t="s">
        <v>106</v>
      </c>
      <c r="B79" s="96">
        <f t="shared" ref="B79:H79" si="19">B42*20%</f>
        <v>0</v>
      </c>
      <c r="C79" s="96">
        <f t="shared" si="19"/>
        <v>0</v>
      </c>
      <c r="D79" s="96">
        <f t="shared" si="19"/>
        <v>0</v>
      </c>
      <c r="E79" s="96">
        <f t="shared" si="19"/>
        <v>0</v>
      </c>
      <c r="F79" s="96">
        <f t="shared" si="19"/>
        <v>0</v>
      </c>
      <c r="G79" s="96">
        <f t="shared" si="19"/>
        <v>0</v>
      </c>
      <c r="H79" s="96">
        <f t="shared" si="19"/>
        <v>0</v>
      </c>
    </row>
    <row r="80" spans="1:8">
      <c r="A80" s="95" t="str">
        <f>A43</f>
        <v>Bajra</v>
      </c>
      <c r="B80" s="96"/>
      <c r="C80" s="96"/>
      <c r="D80" s="96"/>
      <c r="E80" s="96"/>
      <c r="F80" s="96"/>
      <c r="G80" s="96"/>
      <c r="H80" s="96"/>
    </row>
    <row r="81" spans="1:8">
      <c r="A81" s="95"/>
      <c r="B81" s="96"/>
      <c r="C81" s="96"/>
      <c r="D81" s="96"/>
      <c r="E81" s="96"/>
      <c r="F81" s="96"/>
      <c r="G81" s="96"/>
      <c r="H81" s="96"/>
    </row>
    <row r="82" spans="1:8">
      <c r="A82" s="95"/>
      <c r="B82" s="96"/>
      <c r="C82" s="96"/>
      <c r="D82" s="96"/>
      <c r="E82" s="96"/>
      <c r="F82" s="96"/>
      <c r="G82" s="96"/>
      <c r="H82" s="96"/>
    </row>
    <row r="83" spans="1:8">
      <c r="A83" s="95" t="str">
        <f>A44</f>
        <v>Jawar</v>
      </c>
      <c r="B83" s="96"/>
      <c r="C83" s="96"/>
      <c r="D83" s="96"/>
      <c r="E83" s="96"/>
      <c r="F83" s="96"/>
      <c r="G83" s="96"/>
      <c r="H83" s="96"/>
    </row>
    <row r="84" spans="1:8">
      <c r="A84" s="95"/>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t="str">
        <f>A45</f>
        <v>Sunflower</v>
      </c>
      <c r="B87" s="96"/>
      <c r="C87" s="96"/>
      <c r="D87" s="96"/>
      <c r="E87" s="96"/>
      <c r="F87" s="96"/>
      <c r="G87" s="96"/>
      <c r="H87" s="96"/>
    </row>
    <row r="88" spans="1:8">
      <c r="A88" s="95"/>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t="str">
        <f>A46</f>
        <v>Wheat</v>
      </c>
      <c r="B91" s="96"/>
      <c r="C91" s="96"/>
      <c r="D91" s="96"/>
      <c r="E91" s="96"/>
      <c r="F91" s="96"/>
      <c r="G91" s="96"/>
      <c r="H91" s="96"/>
    </row>
    <row r="92" spans="1:8">
      <c r="A92" s="95"/>
      <c r="B92" s="96"/>
      <c r="C92" s="96"/>
      <c r="D92" s="96"/>
      <c r="E92" s="96"/>
      <c r="F92" s="96"/>
      <c r="G92" s="96"/>
      <c r="H92" s="96"/>
    </row>
    <row r="93" spans="1:8">
      <c r="A93" s="95"/>
      <c r="B93" s="96"/>
      <c r="C93" s="96"/>
      <c r="D93" s="96"/>
      <c r="E93" s="96"/>
      <c r="F93" s="96"/>
      <c r="G93" s="96"/>
      <c r="H93" s="96"/>
    </row>
    <row r="94" spans="1:8">
      <c r="A94" s="95" t="str">
        <f>A47</f>
        <v>Bengal Gram/Channa</v>
      </c>
      <c r="B94" s="96"/>
      <c r="C94" s="96"/>
      <c r="D94" s="96"/>
      <c r="E94" s="96"/>
      <c r="F94" s="96"/>
      <c r="G94" s="96"/>
      <c r="H94" s="96"/>
    </row>
    <row r="95" spans="1:8">
      <c r="A95" s="95" t="s">
        <v>428</v>
      </c>
      <c r="B95" s="96">
        <f t="shared" ref="B95:H95" si="20">B47*80%</f>
        <v>0</v>
      </c>
      <c r="C95" s="96">
        <f t="shared" si="20"/>
        <v>0</v>
      </c>
      <c r="D95" s="96">
        <f t="shared" si="20"/>
        <v>0</v>
      </c>
      <c r="E95" s="96">
        <f t="shared" si="20"/>
        <v>0</v>
      </c>
      <c r="F95" s="96">
        <f t="shared" si="20"/>
        <v>0</v>
      </c>
      <c r="G95" s="96">
        <f t="shared" si="20"/>
        <v>0</v>
      </c>
      <c r="H95" s="96">
        <f t="shared" si="20"/>
        <v>0</v>
      </c>
    </row>
    <row r="96" spans="1:8">
      <c r="A96" s="95" t="s">
        <v>106</v>
      </c>
      <c r="B96" s="96">
        <f t="shared" ref="B96:H96" si="21">B47*20%</f>
        <v>0</v>
      </c>
      <c r="C96" s="96">
        <f t="shared" si="21"/>
        <v>0</v>
      </c>
      <c r="D96" s="96">
        <f t="shared" si="21"/>
        <v>0</v>
      </c>
      <c r="E96" s="96">
        <f t="shared" si="21"/>
        <v>0</v>
      </c>
      <c r="F96" s="96">
        <f t="shared" si="21"/>
        <v>0</v>
      </c>
      <c r="G96" s="96">
        <f t="shared" si="21"/>
        <v>0</v>
      </c>
      <c r="H96" s="96">
        <f t="shared" si="21"/>
        <v>0</v>
      </c>
    </row>
    <row r="97" spans="1:8">
      <c r="A97" s="95" t="str">
        <f>A48</f>
        <v>Jawar</v>
      </c>
      <c r="B97" s="96"/>
      <c r="C97" s="96"/>
      <c r="D97" s="96"/>
      <c r="E97" s="96"/>
      <c r="F97" s="96"/>
      <c r="G97" s="96"/>
      <c r="H97" s="96"/>
    </row>
    <row r="98" spans="1:8">
      <c r="A98" s="95"/>
      <c r="B98" s="96"/>
      <c r="C98" s="96"/>
      <c r="D98" s="96"/>
      <c r="E98" s="96"/>
      <c r="F98" s="96"/>
      <c r="G98" s="96"/>
      <c r="H98" s="96"/>
    </row>
    <row r="99" spans="1:8">
      <c r="A99" s="95"/>
      <c r="B99" s="96"/>
      <c r="C99" s="96"/>
      <c r="D99" s="96"/>
      <c r="E99" s="96"/>
      <c r="F99" s="96"/>
      <c r="G99" s="96"/>
      <c r="H99" s="96"/>
    </row>
    <row r="100" spans="1:8">
      <c r="A100" s="95" t="str">
        <f>A49</f>
        <v>Maize</v>
      </c>
      <c r="B100" s="96"/>
      <c r="C100" s="96"/>
      <c r="D100" s="96"/>
      <c r="E100" s="96"/>
      <c r="F100" s="96"/>
      <c r="G100" s="96"/>
      <c r="H100" s="96"/>
    </row>
    <row r="101" spans="1:8">
      <c r="A101" s="95"/>
      <c r="B101" s="96"/>
      <c r="C101" s="96"/>
      <c r="D101" s="96"/>
      <c r="E101" s="96"/>
      <c r="F101" s="96"/>
      <c r="G101" s="96"/>
      <c r="H101" s="96"/>
    </row>
    <row r="102" spans="1:8">
      <c r="A102" s="95"/>
      <c r="B102" s="96"/>
      <c r="C102" s="96"/>
      <c r="D102" s="96"/>
      <c r="E102" s="96"/>
      <c r="F102" s="96"/>
      <c r="G102" s="96"/>
      <c r="H102" s="96"/>
    </row>
    <row r="103" spans="1:8">
      <c r="A103" s="95" t="str">
        <f>A50</f>
        <v>Safflower</v>
      </c>
      <c r="B103" s="96"/>
      <c r="C103" s="96"/>
      <c r="D103" s="96"/>
      <c r="E103" s="96"/>
      <c r="F103" s="96"/>
      <c r="G103" s="96"/>
      <c r="H103" s="96"/>
    </row>
    <row r="104" spans="1:8">
      <c r="A104" s="95"/>
      <c r="B104" s="96"/>
      <c r="C104" s="96"/>
      <c r="D104" s="96"/>
      <c r="E104" s="96"/>
      <c r="F104" s="96"/>
      <c r="G104" s="96"/>
      <c r="H104" s="96"/>
    </row>
    <row r="105" spans="1:8">
      <c r="A105" s="95"/>
      <c r="B105" s="96"/>
      <c r="C105" s="96"/>
      <c r="D105" s="96"/>
      <c r="E105" s="96"/>
      <c r="F105" s="96"/>
      <c r="G105" s="96"/>
      <c r="H105" s="96"/>
    </row>
    <row r="106" spans="1:8">
      <c r="A106" s="95">
        <f>A51</f>
        <v>0</v>
      </c>
      <c r="B106" s="96"/>
      <c r="C106" s="96"/>
      <c r="D106" s="96"/>
      <c r="E106" s="96"/>
      <c r="F106" s="96"/>
      <c r="G106" s="96"/>
      <c r="H106" s="96"/>
    </row>
    <row r="107" spans="1:8">
      <c r="A107" s="95"/>
      <c r="B107" s="96"/>
      <c r="C107" s="96"/>
      <c r="D107" s="96"/>
      <c r="E107" s="96"/>
      <c r="F107" s="96"/>
      <c r="G107" s="96"/>
      <c r="H107" s="96"/>
    </row>
    <row r="108" spans="1:8">
      <c r="A108" s="95"/>
      <c r="B108" s="96"/>
      <c r="C108" s="96"/>
      <c r="D108" s="96"/>
      <c r="E108" s="96"/>
      <c r="F108" s="96"/>
      <c r="G108" s="96"/>
      <c r="H108" s="96"/>
    </row>
    <row r="109" spans="1:8">
      <c r="A109" s="95">
        <f>A52</f>
        <v>0</v>
      </c>
      <c r="B109" s="96"/>
      <c r="C109" s="96"/>
      <c r="D109" s="96"/>
      <c r="E109" s="96"/>
      <c r="F109" s="96"/>
      <c r="G109" s="96"/>
      <c r="H109" s="96"/>
    </row>
    <row r="110" spans="1:8">
      <c r="A110" s="95"/>
      <c r="B110" s="96"/>
      <c r="C110" s="96"/>
      <c r="D110" s="96"/>
      <c r="E110" s="96"/>
      <c r="F110" s="96"/>
      <c r="G110" s="96"/>
      <c r="H110" s="96"/>
    </row>
    <row r="111" spans="1:8">
      <c r="A111" s="95"/>
      <c r="B111" s="96"/>
      <c r="C111" s="96"/>
      <c r="D111" s="96"/>
      <c r="E111" s="96"/>
      <c r="F111" s="96"/>
      <c r="G111" s="96"/>
      <c r="H111" s="96"/>
    </row>
    <row r="112" spans="1:8">
      <c r="A112" s="95">
        <f>A53</f>
        <v>0</v>
      </c>
      <c r="B112" s="96"/>
      <c r="C112" s="96"/>
      <c r="D112" s="96"/>
      <c r="E112" s="96"/>
      <c r="F112" s="96"/>
      <c r="G112" s="96"/>
      <c r="H112" s="96"/>
    </row>
    <row r="113" spans="1:8">
      <c r="A113" s="95"/>
      <c r="B113" s="96"/>
      <c r="C113" s="96"/>
      <c r="D113" s="96"/>
      <c r="E113" s="96"/>
      <c r="F113" s="96"/>
      <c r="G113" s="96"/>
      <c r="H113" s="96"/>
    </row>
    <row r="114" spans="1:8">
      <c r="A114" s="95"/>
      <c r="B114" s="96"/>
      <c r="C114" s="96"/>
      <c r="D114" s="96"/>
      <c r="E114" s="96"/>
      <c r="F114" s="96"/>
      <c r="G114" s="96"/>
      <c r="H114" s="96"/>
    </row>
    <row r="115" spans="1:8">
      <c r="A115" s="95" t="str">
        <f>A54</f>
        <v>Groundnut</v>
      </c>
      <c r="B115" s="96"/>
      <c r="C115" s="96"/>
      <c r="D115" s="96"/>
      <c r="E115" s="96"/>
      <c r="F115" s="96"/>
      <c r="G115" s="96"/>
      <c r="H115" s="96"/>
    </row>
    <row r="116" spans="1:8">
      <c r="A116" s="95"/>
      <c r="B116" s="96"/>
      <c r="C116" s="96"/>
      <c r="D116" s="96"/>
      <c r="E116" s="96"/>
      <c r="F116" s="96"/>
      <c r="G116" s="96"/>
      <c r="H116" s="96"/>
    </row>
    <row r="117" spans="1:8">
      <c r="A117" s="95"/>
      <c r="B117" s="96"/>
      <c r="C117" s="96"/>
      <c r="D117" s="96"/>
      <c r="E117" s="96"/>
      <c r="F117" s="96"/>
      <c r="G117" s="96"/>
      <c r="H117" s="96"/>
    </row>
    <row r="118" spans="1:8">
      <c r="A118" s="95">
        <f>A55</f>
        <v>0</v>
      </c>
      <c r="B118" s="96"/>
      <c r="C118" s="96"/>
      <c r="D118" s="96"/>
      <c r="E118" s="96"/>
      <c r="F118" s="96"/>
      <c r="G118" s="96"/>
      <c r="H118" s="96"/>
    </row>
    <row r="119" spans="1:8">
      <c r="A119" s="95"/>
      <c r="B119" s="96"/>
      <c r="C119" s="96"/>
      <c r="D119" s="96"/>
      <c r="E119" s="96"/>
      <c r="F119" s="96"/>
      <c r="G119" s="96"/>
      <c r="H119" s="96"/>
    </row>
    <row r="120" spans="1:8">
      <c r="A120" s="95"/>
      <c r="B120" s="96"/>
      <c r="C120" s="96"/>
      <c r="D120" s="96"/>
      <c r="E120" s="96"/>
      <c r="F120" s="96"/>
      <c r="G120" s="96"/>
      <c r="H120" s="96"/>
    </row>
    <row r="121" spans="1:8">
      <c r="A121" s="95">
        <f>A56</f>
        <v>0</v>
      </c>
      <c r="B121" s="96"/>
      <c r="C121" s="96"/>
      <c r="D121" s="96"/>
      <c r="E121" s="96"/>
      <c r="F121" s="96"/>
      <c r="G121" s="96"/>
      <c r="H121" s="96"/>
    </row>
    <row r="122" spans="1:8">
      <c r="A122" s="186"/>
      <c r="B122" s="309"/>
      <c r="C122" s="309"/>
      <c r="D122" s="309"/>
      <c r="E122" s="309"/>
      <c r="F122" s="309"/>
      <c r="G122" s="309"/>
      <c r="H122" s="309"/>
    </row>
    <row r="123" spans="1:8">
      <c r="A123" s="186"/>
      <c r="B123" s="309"/>
      <c r="C123" s="309"/>
      <c r="D123" s="309"/>
      <c r="E123" s="309"/>
      <c r="F123" s="309"/>
      <c r="G123" s="309"/>
      <c r="H123" s="309"/>
    </row>
    <row r="124" spans="1:8">
      <c r="A124" s="187" t="s">
        <v>414</v>
      </c>
      <c r="B124">
        <v>50</v>
      </c>
    </row>
    <row r="131" spans="1:10" ht="18.75">
      <c r="A131" s="425" t="s">
        <v>543</v>
      </c>
      <c r="B131" s="425"/>
      <c r="C131" s="425"/>
      <c r="D131" s="425"/>
      <c r="E131" s="425"/>
      <c r="F131" s="425"/>
      <c r="G131" s="425"/>
      <c r="H131" s="425"/>
      <c r="I131" s="425"/>
      <c r="J131" s="425"/>
    </row>
    <row r="132" spans="1:10">
      <c r="A132" s="60"/>
      <c r="B132" s="62"/>
      <c r="C132" s="62"/>
      <c r="D132" s="60"/>
      <c r="E132" s="60"/>
      <c r="F132" s="60"/>
      <c r="G132" s="60"/>
      <c r="H132" s="60"/>
    </row>
    <row r="133" spans="1:10">
      <c r="A133" s="192"/>
      <c r="B133" s="192"/>
      <c r="C133" s="192"/>
      <c r="D133" s="193">
        <v>1</v>
      </c>
      <c r="E133" s="194">
        <f>(D133*5%)+D133</f>
        <v>1.05</v>
      </c>
      <c r="F133" s="194">
        <f t="shared" ref="F133:J133" si="22">(E133*5%)+E133</f>
        <v>1.1025</v>
      </c>
      <c r="G133" s="194">
        <f t="shared" si="22"/>
        <v>1.1576250000000001</v>
      </c>
      <c r="H133" s="194">
        <f t="shared" si="22"/>
        <v>1.2155062500000002</v>
      </c>
      <c r="I133" s="194">
        <f t="shared" si="22"/>
        <v>1.2762815625000004</v>
      </c>
      <c r="J133" s="194">
        <f t="shared" si="22"/>
        <v>1.3400956406250004</v>
      </c>
    </row>
    <row r="134" spans="1:10">
      <c r="A134" s="94"/>
      <c r="B134" s="94"/>
      <c r="C134" s="94"/>
      <c r="D134" s="94"/>
      <c r="E134" s="94"/>
      <c r="F134" s="94"/>
      <c r="G134" s="94"/>
      <c r="H134" s="94"/>
      <c r="I134" s="94"/>
      <c r="J134" s="94"/>
    </row>
    <row r="135" spans="1:10">
      <c r="A135" s="148" t="s">
        <v>0</v>
      </c>
      <c r="B135" s="148" t="s">
        <v>97</v>
      </c>
      <c r="C135" s="148" t="s">
        <v>118</v>
      </c>
      <c r="D135" s="120" t="s">
        <v>2</v>
      </c>
      <c r="E135" s="120" t="s">
        <v>3</v>
      </c>
      <c r="F135" s="120" t="s">
        <v>4</v>
      </c>
      <c r="G135" s="120" t="s">
        <v>5</v>
      </c>
      <c r="H135" s="120" t="s">
        <v>6</v>
      </c>
      <c r="I135" s="120" t="s">
        <v>134</v>
      </c>
      <c r="J135" s="120" t="s">
        <v>133</v>
      </c>
    </row>
    <row r="136" spans="1:10">
      <c r="A136" s="95"/>
      <c r="B136" s="95"/>
      <c r="C136" s="95"/>
      <c r="D136" s="95"/>
      <c r="E136" s="95"/>
      <c r="F136" s="95"/>
      <c r="G136" s="95"/>
      <c r="H136" s="95"/>
      <c r="I136" s="95"/>
      <c r="J136" s="95"/>
    </row>
    <row r="137" spans="1:10">
      <c r="A137" s="97" t="s">
        <v>91</v>
      </c>
      <c r="B137" s="97"/>
      <c r="C137" s="97"/>
      <c r="D137" s="114"/>
      <c r="E137" s="114"/>
      <c r="F137" s="114"/>
      <c r="G137" s="114"/>
      <c r="H137" s="114"/>
      <c r="I137" s="95"/>
      <c r="J137" s="95"/>
    </row>
    <row r="138" spans="1:10">
      <c r="A138" s="97" t="s">
        <v>272</v>
      </c>
      <c r="B138" s="97"/>
      <c r="C138" s="97"/>
      <c r="D138" s="95"/>
      <c r="E138" s="95"/>
      <c r="F138" s="95"/>
      <c r="G138" s="95"/>
      <c r="H138" s="95"/>
      <c r="I138" s="95"/>
      <c r="J138" s="95"/>
    </row>
    <row r="139" spans="1:10">
      <c r="A139" s="95" t="s">
        <v>128</v>
      </c>
      <c r="B139" s="232" t="s">
        <v>318</v>
      </c>
      <c r="C139" s="232">
        <f>70*50</f>
        <v>3500</v>
      </c>
      <c r="D139" s="96">
        <f>(((B95*100)*(1-'5.Closing Stock &amp; W Capital'!$D$17))/$B$124)*$C$139*D133</f>
        <v>0</v>
      </c>
      <c r="E139" s="96">
        <f>E133*((((C95*100)*(1-'5.Closing Stock &amp; W Capital'!$D$17))+((B95*100)*'5.Closing Stock &amp; W Capital'!$D$17))/$B$124)*$C$139</f>
        <v>0</v>
      </c>
      <c r="F139" s="96">
        <f>F133*((((D95*100)*(1-'5.Closing Stock &amp; W Capital'!$D$17))+((C95*100)*'5.Closing Stock &amp; W Capital'!$D$17))/$B$124)*$C$139</f>
        <v>0</v>
      </c>
      <c r="G139" s="96">
        <f>G133*((((E95*100)*(1-'5.Closing Stock &amp; W Capital'!$D$17))+((D95*100)*'5.Closing Stock &amp; W Capital'!$D$17))/$B$124)*$C$139</f>
        <v>0</v>
      </c>
      <c r="H139" s="96">
        <f>H133*((((F95*100)*(1-'5.Closing Stock &amp; W Capital'!$D$17))+((E95*100)*'5.Closing Stock &amp; W Capital'!$D$17))/$B$124)*$C$139</f>
        <v>0</v>
      </c>
      <c r="I139" s="96">
        <f>I133*((((G95*100)*(1-'5.Closing Stock &amp; W Capital'!$D$17))+((F95*100)*'5.Closing Stock &amp; W Capital'!$D$17))/$B$124)*$C$139</f>
        <v>0</v>
      </c>
      <c r="J139" s="96">
        <f>J133*((((H95*100)*(1-'5.Closing Stock &amp; W Capital'!$D$17))+((G95*100)*'5.Closing Stock &amp; W Capital'!$D$17))/$B$124)*$C$139</f>
        <v>0</v>
      </c>
    </row>
    <row r="140" spans="1:10">
      <c r="A140" s="95" t="s">
        <v>129</v>
      </c>
      <c r="B140" s="232" t="s">
        <v>318</v>
      </c>
      <c r="C140" s="232">
        <f>75*50</f>
        <v>3750</v>
      </c>
      <c r="D140" s="96">
        <f>(((B63*100)*(1-'5.Closing Stock &amp; W Capital'!$D$17))/B124)*$C$140*D133</f>
        <v>0</v>
      </c>
      <c r="E140" s="96">
        <f>((((C63*100)*(1-'5.Closing Stock &amp; W Capital'!$D$17))+((B63*100)*'5.Closing Stock &amp; W Capital'!$D$17))/$B$124)*$C$140*E133</f>
        <v>0</v>
      </c>
      <c r="F140" s="96">
        <f>((((D63*100)*(1-'5.Closing Stock &amp; W Capital'!$D$17))+((C63*100)*'5.Closing Stock &amp; W Capital'!$D$17))/$B$124)*$C$140*F133</f>
        <v>0</v>
      </c>
      <c r="G140" s="96">
        <f>((((E63*100)*(1-'5.Closing Stock &amp; W Capital'!$D$17))+((D63*100)*'5.Closing Stock &amp; W Capital'!$D$17))/$B$124)*$C$140*G133</f>
        <v>0</v>
      </c>
      <c r="H140" s="96">
        <f>((((F63*100)*(1-'5.Closing Stock &amp; W Capital'!$D$17))+((E63*100)*'5.Closing Stock &amp; W Capital'!$D$17))/$B$124)*$C$140*H133</f>
        <v>0</v>
      </c>
      <c r="I140" s="96">
        <f>((((G63*100)*(1-'5.Closing Stock &amp; W Capital'!$D$17))+((F63*100)*'5.Closing Stock &amp; W Capital'!$D$17))/$B$124)*$C$140*I133</f>
        <v>0</v>
      </c>
      <c r="J140" s="96">
        <f>((((H63*100)*(1-'5.Closing Stock &amp; W Capital'!$D$17))+((G63*100)*'5.Closing Stock &amp; W Capital'!$D$17))/$B$124)*$C$140*J133</f>
        <v>0</v>
      </c>
    </row>
    <row r="141" spans="1:10">
      <c r="A141" s="95" t="s">
        <v>273</v>
      </c>
      <c r="B141" s="232" t="s">
        <v>318</v>
      </c>
      <c r="C141" s="232">
        <f>80*50</f>
        <v>4000</v>
      </c>
      <c r="D141" s="96">
        <f>(((B78*100)*(1-'5.Closing Stock &amp; W Capital'!D17))/$B$124)*$C$141*D133</f>
        <v>0</v>
      </c>
      <c r="E141" s="96">
        <f>((((C78*100)*(1-'5.Closing Stock &amp; W Capital'!$D$17))+((B78*100)*'5.Closing Stock &amp; W Capital'!$D$17))/$B$124)*$C$141*E133</f>
        <v>0</v>
      </c>
      <c r="F141" s="96">
        <f>((((D78*100)*(1-'5.Closing Stock &amp; W Capital'!$D$17))+((C78*100)*'5.Closing Stock &amp; W Capital'!$D$17))/$B$124)*$C$141*F133</f>
        <v>0</v>
      </c>
      <c r="G141" s="96">
        <f>((((E78*100)*(1-'5.Closing Stock &amp; W Capital'!$D$17))+((D78*100)*'5.Closing Stock &amp; W Capital'!$D$17))/$B$124)*$C$141*G133</f>
        <v>0</v>
      </c>
      <c r="H141" s="96">
        <f>((((F78*100)*(1-'5.Closing Stock &amp; W Capital'!$D$17))+((E78*100)*'5.Closing Stock &amp; W Capital'!$D$17))/$B$124)*$C$141*H133</f>
        <v>0</v>
      </c>
      <c r="I141" s="96">
        <f>((((G78*100)*(1-'5.Closing Stock &amp; W Capital'!$D$17))+((F78*100)*'5.Closing Stock &amp; W Capital'!$D$17))/$B$124)*$C$141*I133</f>
        <v>0</v>
      </c>
      <c r="J141" s="96">
        <f>((((H78*100)*(1-'5.Closing Stock &amp; W Capital'!$D$17))+((G78*100)*'5.Closing Stock &amp; W Capital'!$D$17))/$B$124)*$C$141*J133</f>
        <v>0</v>
      </c>
    </row>
    <row r="142" spans="1:10">
      <c r="A142" s="95" t="s">
        <v>271</v>
      </c>
      <c r="B142" s="232" t="s">
        <v>318</v>
      </c>
      <c r="C142" s="232">
        <f>80*50</f>
        <v>4000</v>
      </c>
      <c r="D142" s="96">
        <f>(((B70*100)*(1-'5.Closing Stock &amp; W Capital'!D17))/B124)*$C$142*D133</f>
        <v>0</v>
      </c>
      <c r="E142" s="96">
        <f>((((C70*100)*(1-'5.Closing Stock &amp; W Capital'!$D$17))+((B70*100)*'5.Closing Stock &amp; W Capital'!$D$17))/$B$124)*$C$142*E133</f>
        <v>0</v>
      </c>
      <c r="F142" s="96">
        <f>((((D70*100)*(1-'5.Closing Stock &amp; W Capital'!$D$17))+((C70*100)*'5.Closing Stock &amp; W Capital'!$D$17))/$B$124)*$C$142*F133</f>
        <v>0</v>
      </c>
      <c r="G142" s="96">
        <f>((((E70*100)*(1-'5.Closing Stock &amp; W Capital'!$D$17))+((D70*100)*'5.Closing Stock &amp; W Capital'!$D$17))/$B$124)*$C$142*G133</f>
        <v>0</v>
      </c>
      <c r="H142" s="96">
        <f>((((F70*100)*(1-'5.Closing Stock &amp; W Capital'!$D$17))+((E70*100)*'5.Closing Stock &amp; W Capital'!$D$17))/$B$124)*$C$142*H133</f>
        <v>0</v>
      </c>
      <c r="I142" s="96">
        <f>((((G70*100)*(1-'5.Closing Stock &amp; W Capital'!$D$17))+((F70*100)*'5.Closing Stock &amp; W Capital'!$D$17))/$B$124)*$C$142*I133</f>
        <v>0</v>
      </c>
      <c r="J142" s="96">
        <f>((((H70*100)*(1-'5.Closing Stock &amp; W Capital'!$D$17))+((G70*100)*'5.Closing Stock &amp; W Capital'!$D$17))/$B$124)*$C$142*J133</f>
        <v>0</v>
      </c>
    </row>
    <row r="143" spans="1:10">
      <c r="A143" s="95"/>
      <c r="B143" s="95"/>
      <c r="C143" s="95"/>
      <c r="D143" s="96"/>
      <c r="E143" s="96"/>
      <c r="F143" s="96"/>
      <c r="G143" s="96"/>
      <c r="H143" s="96"/>
      <c r="I143" s="96"/>
      <c r="J143" s="96"/>
    </row>
    <row r="144" spans="1:10">
      <c r="A144" s="97" t="s">
        <v>106</v>
      </c>
      <c r="B144" s="237" t="s">
        <v>319</v>
      </c>
      <c r="C144" s="237">
        <v>10</v>
      </c>
      <c r="D144" s="96">
        <f t="shared" ref="D144:J144" si="23">((B63+B95+B78+B70)*100)*$C$144*D133</f>
        <v>0</v>
      </c>
      <c r="E144" s="96">
        <f t="shared" si="23"/>
        <v>0</v>
      </c>
      <c r="F144" s="96">
        <f t="shared" si="23"/>
        <v>0</v>
      </c>
      <c r="G144" s="96">
        <f t="shared" si="23"/>
        <v>0</v>
      </c>
      <c r="H144" s="96">
        <f t="shared" si="23"/>
        <v>0</v>
      </c>
      <c r="I144" s="96">
        <f t="shared" si="23"/>
        <v>0</v>
      </c>
      <c r="J144" s="96">
        <f t="shared" si="23"/>
        <v>0</v>
      </c>
    </row>
    <row r="145" spans="1:19">
      <c r="A145" s="95"/>
      <c r="B145" s="232"/>
      <c r="C145" s="232"/>
      <c r="D145" s="96"/>
      <c r="E145" s="96"/>
      <c r="F145" s="96"/>
      <c r="G145" s="96"/>
      <c r="H145" s="96"/>
      <c r="I145" s="96"/>
      <c r="J145" s="96"/>
      <c r="K145" s="63">
        <f>[2]Output!T58*70*K133</f>
        <v>0</v>
      </c>
    </row>
    <row r="146" spans="1:19">
      <c r="A146" s="97" t="s">
        <v>248</v>
      </c>
      <c r="B146" s="237" t="s">
        <v>319</v>
      </c>
      <c r="C146" s="232">
        <v>6</v>
      </c>
      <c r="D146" s="96">
        <f t="shared" ref="D146:J146" si="24">(B35*100)*$C$146*D133</f>
        <v>0</v>
      </c>
      <c r="E146" s="96">
        <f t="shared" si="24"/>
        <v>0</v>
      </c>
      <c r="F146" s="96">
        <f t="shared" si="24"/>
        <v>0</v>
      </c>
      <c r="G146" s="96">
        <f t="shared" si="24"/>
        <v>0</v>
      </c>
      <c r="H146" s="96">
        <f t="shared" si="24"/>
        <v>0</v>
      </c>
      <c r="I146" s="96">
        <f t="shared" si="24"/>
        <v>0</v>
      </c>
      <c r="J146" s="96">
        <f t="shared" si="24"/>
        <v>0</v>
      </c>
    </row>
    <row r="147" spans="1:19">
      <c r="A147" s="95"/>
      <c r="B147" s="95"/>
      <c r="C147" s="95"/>
      <c r="D147" s="96"/>
      <c r="E147" s="96"/>
      <c r="F147" s="96"/>
      <c r="G147" s="96"/>
      <c r="H147" s="96"/>
      <c r="I147" s="96"/>
      <c r="J147" s="96"/>
    </row>
    <row r="148" spans="1:19">
      <c r="A148" s="97" t="s">
        <v>91</v>
      </c>
      <c r="B148" s="97"/>
      <c r="C148" s="97"/>
      <c r="D148" s="115">
        <f>SUM(D139:D146)</f>
        <v>0</v>
      </c>
      <c r="E148" s="115">
        <f t="shared" ref="E148:J148" si="25">SUM(E139:E146)</f>
        <v>0</v>
      </c>
      <c r="F148" s="115">
        <f t="shared" si="25"/>
        <v>0</v>
      </c>
      <c r="G148" s="115">
        <f t="shared" si="25"/>
        <v>0</v>
      </c>
      <c r="H148" s="115">
        <f t="shared" si="25"/>
        <v>0</v>
      </c>
      <c r="I148" s="115">
        <f t="shared" si="25"/>
        <v>0</v>
      </c>
      <c r="J148" s="115">
        <f t="shared" si="25"/>
        <v>0</v>
      </c>
    </row>
    <row r="149" spans="1:19">
      <c r="A149" s="95"/>
      <c r="B149" s="95"/>
      <c r="C149" s="95"/>
      <c r="D149" s="96"/>
      <c r="E149" s="96"/>
      <c r="F149" s="96"/>
      <c r="G149" s="96"/>
      <c r="H149" s="96"/>
      <c r="I149" s="96"/>
      <c r="J149" s="96"/>
    </row>
    <row r="150" spans="1:19">
      <c r="A150" s="97" t="s">
        <v>107</v>
      </c>
      <c r="B150" s="97"/>
      <c r="C150" s="97"/>
      <c r="D150" s="96"/>
      <c r="E150" s="96"/>
      <c r="F150" s="96"/>
      <c r="G150" s="96"/>
      <c r="H150" s="96"/>
      <c r="I150" s="96"/>
      <c r="J150" s="96"/>
    </row>
    <row r="151" spans="1:19">
      <c r="A151" s="97" t="s">
        <v>266</v>
      </c>
      <c r="B151" s="97"/>
      <c r="C151" s="95"/>
      <c r="D151" s="96"/>
      <c r="E151" s="96"/>
      <c r="F151" s="96"/>
      <c r="G151" s="96"/>
      <c r="H151" s="96"/>
      <c r="I151" s="96"/>
      <c r="J151" s="96"/>
    </row>
    <row r="152" spans="1:19">
      <c r="A152" s="99" t="s">
        <v>128</v>
      </c>
      <c r="B152" s="232" t="s">
        <v>320</v>
      </c>
      <c r="C152" s="256">
        <v>4800</v>
      </c>
      <c r="D152" s="96">
        <f t="shared" ref="D152:J152" si="26">(B47)*$C$152*D133</f>
        <v>0</v>
      </c>
      <c r="E152" s="96">
        <f t="shared" si="26"/>
        <v>0</v>
      </c>
      <c r="F152" s="96">
        <f t="shared" si="26"/>
        <v>0</v>
      </c>
      <c r="G152" s="96">
        <f t="shared" si="26"/>
        <v>0</v>
      </c>
      <c r="H152" s="96">
        <f t="shared" si="26"/>
        <v>0</v>
      </c>
      <c r="I152" s="96">
        <f t="shared" si="26"/>
        <v>0</v>
      </c>
      <c r="J152" s="96">
        <f t="shared" si="26"/>
        <v>0</v>
      </c>
      <c r="L152" t="s">
        <v>647</v>
      </c>
      <c r="M152">
        <v>10</v>
      </c>
      <c r="N152">
        <f>10*450</f>
        <v>4500</v>
      </c>
      <c r="O152">
        <f>+N152*150</f>
        <v>675000</v>
      </c>
      <c r="P152">
        <f>N152*300</f>
        <v>1350000</v>
      </c>
    </row>
    <row r="153" spans="1:19">
      <c r="A153" s="95" t="s">
        <v>274</v>
      </c>
      <c r="B153" s="232" t="s">
        <v>320</v>
      </c>
      <c r="C153" s="256">
        <v>5800</v>
      </c>
      <c r="D153" s="96">
        <f t="shared" ref="D153:J153" si="27">(B38)*$C$153*D133</f>
        <v>0</v>
      </c>
      <c r="E153" s="96">
        <f t="shared" si="27"/>
        <v>0</v>
      </c>
      <c r="F153" s="96">
        <f t="shared" si="27"/>
        <v>0</v>
      </c>
      <c r="G153" s="96">
        <f t="shared" si="27"/>
        <v>0</v>
      </c>
      <c r="H153" s="96">
        <f t="shared" si="27"/>
        <v>0</v>
      </c>
      <c r="I153" s="96">
        <f t="shared" si="27"/>
        <v>0</v>
      </c>
      <c r="J153" s="96">
        <f t="shared" si="27"/>
        <v>0</v>
      </c>
      <c r="L153" t="s">
        <v>648</v>
      </c>
      <c r="M153">
        <v>2</v>
      </c>
      <c r="N153">
        <f>300*2</f>
        <v>600</v>
      </c>
      <c r="O153">
        <f>+N153*150</f>
        <v>90000</v>
      </c>
      <c r="P153">
        <f>N153*300</f>
        <v>180000</v>
      </c>
    </row>
    <row r="154" spans="1:19">
      <c r="A154" s="95" t="s">
        <v>275</v>
      </c>
      <c r="B154" s="232" t="s">
        <v>320</v>
      </c>
      <c r="C154" s="256">
        <v>5800</v>
      </c>
      <c r="D154" s="96">
        <f t="shared" ref="D154:J154" si="28">(B42)*$C$154*D133</f>
        <v>0</v>
      </c>
      <c r="E154" s="96">
        <f t="shared" si="28"/>
        <v>0</v>
      </c>
      <c r="F154" s="96">
        <f t="shared" si="28"/>
        <v>0</v>
      </c>
      <c r="G154" s="96">
        <f t="shared" si="28"/>
        <v>0</v>
      </c>
      <c r="H154" s="96">
        <f t="shared" si="28"/>
        <v>0</v>
      </c>
      <c r="I154" s="96">
        <f t="shared" si="28"/>
        <v>0</v>
      </c>
      <c r="J154" s="96">
        <f t="shared" si="28"/>
        <v>0</v>
      </c>
      <c r="N154">
        <f>+N152+N153</f>
        <v>5100</v>
      </c>
      <c r="O154" s="5">
        <f>+O152+O153</f>
        <v>765000</v>
      </c>
      <c r="P154">
        <f>SUM(P152:P153)</f>
        <v>1530000</v>
      </c>
    </row>
    <row r="155" spans="1:19">
      <c r="A155" s="95" t="s">
        <v>271</v>
      </c>
      <c r="B155" s="232" t="s">
        <v>320</v>
      </c>
      <c r="C155" s="256">
        <v>6200</v>
      </c>
      <c r="D155" s="96">
        <f t="shared" ref="D155:J155" si="29">(B40)*$C$155*D133</f>
        <v>0</v>
      </c>
      <c r="E155" s="96">
        <f t="shared" si="29"/>
        <v>0</v>
      </c>
      <c r="F155" s="96">
        <f t="shared" si="29"/>
        <v>0</v>
      </c>
      <c r="G155" s="96">
        <f t="shared" si="29"/>
        <v>0</v>
      </c>
      <c r="H155" s="96">
        <f t="shared" si="29"/>
        <v>0</v>
      </c>
      <c r="I155" s="96">
        <f t="shared" si="29"/>
        <v>0</v>
      </c>
      <c r="J155" s="96">
        <f t="shared" si="29"/>
        <v>0</v>
      </c>
      <c r="N155">
        <f>+N154/2</f>
        <v>2550</v>
      </c>
    </row>
    <row r="156" spans="1:19">
      <c r="A156" s="95" t="s">
        <v>321</v>
      </c>
      <c r="B156" s="232">
        <v>2</v>
      </c>
      <c r="C156" s="232">
        <v>100</v>
      </c>
      <c r="D156" s="96">
        <f t="shared" ref="D156:J156" si="30">(B32/10)*$B$156*$C$156*D133</f>
        <v>0</v>
      </c>
      <c r="E156" s="96">
        <f t="shared" si="30"/>
        <v>0</v>
      </c>
      <c r="F156" s="96">
        <f t="shared" si="30"/>
        <v>0</v>
      </c>
      <c r="G156" s="96">
        <f t="shared" si="30"/>
        <v>0</v>
      </c>
      <c r="H156" s="96">
        <f t="shared" si="30"/>
        <v>0</v>
      </c>
      <c r="I156" s="96">
        <f t="shared" si="30"/>
        <v>0</v>
      </c>
      <c r="J156" s="96">
        <f t="shared" si="30"/>
        <v>0</v>
      </c>
      <c r="L156" s="390" t="s">
        <v>109</v>
      </c>
    </row>
    <row r="157" spans="1:19">
      <c r="A157" s="95" t="s">
        <v>276</v>
      </c>
      <c r="B157" s="232">
        <v>3</v>
      </c>
      <c r="C157" s="232">
        <v>300</v>
      </c>
      <c r="D157" s="96">
        <f t="shared" ref="D157:J157" si="31">B12*$B$157*$C$157*D133</f>
        <v>0</v>
      </c>
      <c r="E157" s="96">
        <f t="shared" si="31"/>
        <v>0</v>
      </c>
      <c r="F157" s="96">
        <f t="shared" si="31"/>
        <v>0</v>
      </c>
      <c r="G157" s="96">
        <f t="shared" si="31"/>
        <v>0</v>
      </c>
      <c r="H157" s="96">
        <f t="shared" si="31"/>
        <v>0</v>
      </c>
      <c r="I157" s="96">
        <f t="shared" si="31"/>
        <v>0</v>
      </c>
      <c r="J157" s="96">
        <f t="shared" si="31"/>
        <v>0</v>
      </c>
      <c r="L157">
        <v>25000</v>
      </c>
    </row>
    <row r="158" spans="1:19">
      <c r="A158" s="95" t="s">
        <v>109</v>
      </c>
      <c r="B158" s="95">
        <f>'2.Capex Details'!H65*0.746*8</f>
        <v>0</v>
      </c>
      <c r="C158" s="232">
        <v>8</v>
      </c>
      <c r="D158" s="96">
        <f t="shared" ref="D158:J158" si="32">$B$158*$C$158*B12*D133</f>
        <v>0</v>
      </c>
      <c r="E158" s="96">
        <f t="shared" si="32"/>
        <v>0</v>
      </c>
      <c r="F158" s="96">
        <f t="shared" si="32"/>
        <v>0</v>
      </c>
      <c r="G158" s="96">
        <f t="shared" si="32"/>
        <v>0</v>
      </c>
      <c r="H158" s="96">
        <f t="shared" si="32"/>
        <v>0</v>
      </c>
      <c r="I158" s="96">
        <f t="shared" si="32"/>
        <v>0</v>
      </c>
      <c r="J158" s="96">
        <f t="shared" si="32"/>
        <v>0</v>
      </c>
      <c r="M158" s="198">
        <v>1</v>
      </c>
      <c r="N158" s="199">
        <f>(M158*5%)+M158</f>
        <v>1.05</v>
      </c>
      <c r="O158" s="199">
        <f t="shared" ref="O158:S158" si="33">(N158*5%)+N158</f>
        <v>1.1025</v>
      </c>
      <c r="P158" s="199">
        <f t="shared" si="33"/>
        <v>1.1576250000000001</v>
      </c>
      <c r="Q158" s="199">
        <f t="shared" si="33"/>
        <v>1.2155062500000002</v>
      </c>
      <c r="R158" s="199">
        <f t="shared" si="33"/>
        <v>1.2762815625000004</v>
      </c>
      <c r="S158" s="199">
        <f t="shared" si="33"/>
        <v>1.3400956406250004</v>
      </c>
    </row>
    <row r="159" spans="1:19">
      <c r="A159" s="95" t="s">
        <v>249</v>
      </c>
      <c r="B159" s="95"/>
      <c r="C159" s="232">
        <v>10</v>
      </c>
      <c r="D159" s="96">
        <f t="shared" ref="D159:J159" si="34">((B35*100)/50)*$C$159*D133</f>
        <v>0</v>
      </c>
      <c r="E159" s="96">
        <f t="shared" si="34"/>
        <v>0</v>
      </c>
      <c r="F159" s="96">
        <f t="shared" si="34"/>
        <v>0</v>
      </c>
      <c r="G159" s="96">
        <f t="shared" si="34"/>
        <v>0</v>
      </c>
      <c r="H159" s="96">
        <f t="shared" si="34"/>
        <v>0</v>
      </c>
      <c r="I159" s="96">
        <f t="shared" si="34"/>
        <v>0</v>
      </c>
      <c r="J159" s="96">
        <f t="shared" si="34"/>
        <v>0</v>
      </c>
      <c r="L159" s="390" t="s">
        <v>710</v>
      </c>
      <c r="M159" s="5" t="s">
        <v>11</v>
      </c>
      <c r="N159" s="5" t="s">
        <v>12</v>
      </c>
      <c r="O159" s="5" t="s">
        <v>13</v>
      </c>
      <c r="P159" s="5" t="s">
        <v>14</v>
      </c>
      <c r="Q159" s="5" t="s">
        <v>15</v>
      </c>
      <c r="R159" s="5" t="s">
        <v>16</v>
      </c>
      <c r="S159" s="5" t="s">
        <v>234</v>
      </c>
    </row>
    <row r="160" spans="1:19">
      <c r="A160" s="109" t="s">
        <v>250</v>
      </c>
      <c r="B160" s="109"/>
      <c r="C160" s="258">
        <v>20</v>
      </c>
      <c r="D160" s="96">
        <f t="shared" ref="D160:J160" si="35">(((B78+B69+B95+B63)*100)/50)*$C$160*D133</f>
        <v>0</v>
      </c>
      <c r="E160" s="96">
        <f t="shared" si="35"/>
        <v>0</v>
      </c>
      <c r="F160" s="96">
        <f t="shared" si="35"/>
        <v>0</v>
      </c>
      <c r="G160" s="96">
        <f t="shared" si="35"/>
        <v>0</v>
      </c>
      <c r="H160" s="96">
        <f t="shared" si="35"/>
        <v>0</v>
      </c>
      <c r="I160" s="96">
        <f t="shared" si="35"/>
        <v>0</v>
      </c>
      <c r="J160" s="96">
        <f t="shared" si="35"/>
        <v>0</v>
      </c>
      <c r="L160" t="s">
        <v>650</v>
      </c>
      <c r="M160" s="391" t="e">
        <f>#REF!</f>
        <v>#REF!</v>
      </c>
      <c r="N160" s="391" t="e">
        <f t="shared" ref="N160" si="36">#REF!</f>
        <v>#REF!</v>
      </c>
      <c r="O160" s="391" t="e">
        <f t="shared" ref="O160" si="37">#REF!</f>
        <v>#REF!</v>
      </c>
      <c r="P160" s="391" t="e">
        <f t="shared" ref="P160" si="38">#REF!</f>
        <v>#REF!</v>
      </c>
      <c r="Q160" s="391" t="e">
        <f t="shared" ref="Q160" si="39">#REF!</f>
        <v>#REF!</v>
      </c>
      <c r="R160" s="391" t="e">
        <f t="shared" ref="R160" si="40">#REF!</f>
        <v>#REF!</v>
      </c>
      <c r="S160" s="391" t="e">
        <f t="shared" ref="S160" si="41">#REF!</f>
        <v>#REF!</v>
      </c>
    </row>
    <row r="161" spans="1:19">
      <c r="A161" s="95" t="s">
        <v>251</v>
      </c>
      <c r="B161" s="95"/>
      <c r="C161" s="232">
        <v>100</v>
      </c>
      <c r="D161" s="96">
        <f t="shared" ref="D161:J161" si="42">(((B78+B69+B95+B63)*100)/50)*$C$161*D133</f>
        <v>0</v>
      </c>
      <c r="E161" s="96">
        <f t="shared" si="42"/>
        <v>0</v>
      </c>
      <c r="F161" s="96">
        <f t="shared" si="42"/>
        <v>0</v>
      </c>
      <c r="G161" s="96">
        <f t="shared" si="42"/>
        <v>0</v>
      </c>
      <c r="H161" s="96">
        <f t="shared" si="42"/>
        <v>0</v>
      </c>
      <c r="I161" s="96">
        <f t="shared" si="42"/>
        <v>0</v>
      </c>
      <c r="J161" s="96">
        <f t="shared" si="42"/>
        <v>0</v>
      </c>
      <c r="L161" s="94" t="s">
        <v>651</v>
      </c>
      <c r="M161" s="392" t="e">
        <f>+M160*100</f>
        <v>#REF!</v>
      </c>
      <c r="N161" s="392" t="e">
        <f t="shared" ref="N161:S161" si="43">+N160*100</f>
        <v>#REF!</v>
      </c>
      <c r="O161" s="392" t="e">
        <f t="shared" si="43"/>
        <v>#REF!</v>
      </c>
      <c r="P161" s="392" t="e">
        <f t="shared" si="43"/>
        <v>#REF!</v>
      </c>
      <c r="Q161" s="392" t="e">
        <f t="shared" si="43"/>
        <v>#REF!</v>
      </c>
      <c r="R161" s="392" t="e">
        <f t="shared" si="43"/>
        <v>#REF!</v>
      </c>
      <c r="S161" s="392" t="e">
        <f t="shared" si="43"/>
        <v>#REF!</v>
      </c>
    </row>
    <row r="162" spans="1:19">
      <c r="A162" s="10"/>
      <c r="B162" s="10"/>
      <c r="C162" s="10"/>
      <c r="D162" s="10"/>
      <c r="E162" s="10"/>
      <c r="F162" s="10"/>
      <c r="G162" s="10"/>
      <c r="H162" s="10"/>
      <c r="I162" s="10"/>
      <c r="J162" s="10"/>
      <c r="L162" s="94" t="s">
        <v>711</v>
      </c>
      <c r="M162" s="392">
        <v>1</v>
      </c>
      <c r="N162" s="392">
        <v>1</v>
      </c>
      <c r="O162" s="392">
        <v>1</v>
      </c>
      <c r="P162" s="392">
        <v>1</v>
      </c>
      <c r="Q162" s="392">
        <v>1</v>
      </c>
      <c r="R162" s="392">
        <v>1</v>
      </c>
      <c r="S162" s="392">
        <v>1</v>
      </c>
    </row>
    <row r="163" spans="1:19">
      <c r="A163" s="10"/>
      <c r="B163" s="10"/>
      <c r="C163" s="10"/>
      <c r="D163" s="10"/>
      <c r="E163" s="10"/>
      <c r="F163" s="10"/>
      <c r="G163" s="10"/>
      <c r="H163" s="10"/>
      <c r="I163" s="10"/>
      <c r="J163" s="10"/>
      <c r="L163" s="94" t="s">
        <v>712</v>
      </c>
      <c r="M163" s="392" t="e">
        <f>+M161/M162</f>
        <v>#REF!</v>
      </c>
      <c r="N163" s="392" t="e">
        <f t="shared" ref="N163:S163" si="44">+N161/N162</f>
        <v>#REF!</v>
      </c>
      <c r="O163" s="392" t="e">
        <f t="shared" si="44"/>
        <v>#REF!</v>
      </c>
      <c r="P163" s="392" t="e">
        <f t="shared" si="44"/>
        <v>#REF!</v>
      </c>
      <c r="Q163" s="392" t="e">
        <f t="shared" si="44"/>
        <v>#REF!</v>
      </c>
      <c r="R163" s="392" t="e">
        <f t="shared" si="44"/>
        <v>#REF!</v>
      </c>
      <c r="S163" s="392" t="e">
        <f t="shared" si="44"/>
        <v>#REF!</v>
      </c>
    </row>
    <row r="164" spans="1:19">
      <c r="A164" s="10"/>
      <c r="B164" s="10"/>
      <c r="C164" s="10"/>
      <c r="D164" s="10"/>
      <c r="E164" s="10"/>
      <c r="F164" s="10"/>
      <c r="G164" s="10"/>
      <c r="H164" s="10"/>
      <c r="I164" s="10"/>
      <c r="J164" s="10"/>
      <c r="L164" s="94" t="s">
        <v>654</v>
      </c>
      <c r="M164" s="393">
        <v>2.75</v>
      </c>
      <c r="N164" s="393">
        <v>2.75</v>
      </c>
      <c r="O164" s="393">
        <v>2.75</v>
      </c>
      <c r="P164" s="393">
        <v>2.75</v>
      </c>
      <c r="Q164" s="393">
        <v>2.75</v>
      </c>
      <c r="R164" s="393">
        <v>2.75</v>
      </c>
      <c r="S164" s="393">
        <v>2.75</v>
      </c>
    </row>
    <row r="165" spans="1:19">
      <c r="A165" s="10"/>
      <c r="B165" s="10"/>
      <c r="C165" s="10"/>
      <c r="D165" s="10"/>
      <c r="E165" s="10"/>
      <c r="F165" s="10"/>
      <c r="G165" s="10"/>
      <c r="H165" s="10"/>
      <c r="I165" s="10"/>
      <c r="J165" s="10"/>
      <c r="L165" s="116" t="s">
        <v>286</v>
      </c>
      <c r="M165" s="394" t="e">
        <f>+M163*M164*M158</f>
        <v>#REF!</v>
      </c>
      <c r="N165" s="394" t="e">
        <f t="shared" ref="N165:S165" si="45">+N163*N164*N158</f>
        <v>#REF!</v>
      </c>
      <c r="O165" s="394" t="e">
        <f t="shared" si="45"/>
        <v>#REF!</v>
      </c>
      <c r="P165" s="394" t="e">
        <f t="shared" si="45"/>
        <v>#REF!</v>
      </c>
      <c r="Q165" s="394" t="e">
        <f t="shared" si="45"/>
        <v>#REF!</v>
      </c>
      <c r="R165" s="394" t="e">
        <f t="shared" si="45"/>
        <v>#REF!</v>
      </c>
      <c r="S165" s="394" t="e">
        <f t="shared" si="45"/>
        <v>#REF!</v>
      </c>
    </row>
    <row r="166" spans="1:19">
      <c r="A166" s="195" t="s">
        <v>299</v>
      </c>
      <c r="B166" s="96"/>
      <c r="C166" s="96"/>
      <c r="D166" s="96"/>
      <c r="E166" s="96">
        <f>'5.Closing Stock &amp; W Capital'!F8</f>
        <v>0</v>
      </c>
      <c r="F166" s="96">
        <f>'5.Closing Stock &amp; W Capital'!G8</f>
        <v>0</v>
      </c>
      <c r="G166" s="96">
        <f>'5.Closing Stock &amp; W Capital'!H8</f>
        <v>0</v>
      </c>
      <c r="H166" s="96">
        <f>'5.Closing Stock &amp; W Capital'!I8</f>
        <v>0</v>
      </c>
      <c r="I166" s="96">
        <f>'5.Closing Stock &amp; W Capital'!J8</f>
        <v>0</v>
      </c>
      <c r="J166" s="96">
        <f>'5.Closing Stock &amp; W Capital'!K8</f>
        <v>0</v>
      </c>
      <c r="L166" s="94"/>
      <c r="M166" s="392"/>
      <c r="N166" s="392"/>
      <c r="O166" s="392"/>
      <c r="P166" s="392"/>
      <c r="Q166" s="392"/>
      <c r="R166" s="392"/>
      <c r="S166" s="392"/>
    </row>
    <row r="167" spans="1:19">
      <c r="A167" s="195" t="s">
        <v>300</v>
      </c>
      <c r="B167" s="96"/>
      <c r="C167" s="96"/>
      <c r="D167" s="96">
        <f>'5.Closing Stock &amp; W Capital'!E17</f>
        <v>0</v>
      </c>
      <c r="E167" s="96">
        <f>'5.Closing Stock &amp; W Capital'!F17</f>
        <v>0</v>
      </c>
      <c r="F167" s="96">
        <f>'5.Closing Stock &amp; W Capital'!G17</f>
        <v>0</v>
      </c>
      <c r="G167" s="96">
        <f>'5.Closing Stock &amp; W Capital'!H17</f>
        <v>0</v>
      </c>
      <c r="H167" s="96">
        <f>'5.Closing Stock &amp; W Capital'!I17</f>
        <v>0</v>
      </c>
      <c r="I167" s="96">
        <f>'5.Closing Stock &amp; W Capital'!J17</f>
        <v>0</v>
      </c>
      <c r="J167" s="96">
        <f>'5.Closing Stock &amp; W Capital'!K17</f>
        <v>0</v>
      </c>
      <c r="L167" s="94"/>
      <c r="M167" s="198">
        <v>1</v>
      </c>
      <c r="N167" s="199">
        <f>(M167*5%)+M167</f>
        <v>1.05</v>
      </c>
      <c r="O167" s="199">
        <f t="shared" ref="O167:S167" si="46">(N167*5%)+N167</f>
        <v>1.1025</v>
      </c>
      <c r="P167" s="199">
        <f t="shared" si="46"/>
        <v>1.1576250000000001</v>
      </c>
      <c r="Q167" s="199">
        <f t="shared" si="46"/>
        <v>1.2155062500000002</v>
      </c>
      <c r="R167" s="199">
        <f t="shared" si="46"/>
        <v>1.2762815625000004</v>
      </c>
      <c r="S167" s="199">
        <f t="shared" si="46"/>
        <v>1.3400956406250004</v>
      </c>
    </row>
    <row r="168" spans="1:19">
      <c r="A168" s="96"/>
      <c r="B168" s="96"/>
      <c r="C168" s="96"/>
      <c r="D168" s="96"/>
      <c r="E168" s="96"/>
      <c r="F168" s="96"/>
      <c r="G168" s="96"/>
      <c r="H168" s="96"/>
      <c r="I168" s="96"/>
      <c r="J168" s="96"/>
      <c r="L168" s="116" t="s">
        <v>137</v>
      </c>
      <c r="M168" s="5" t="s">
        <v>11</v>
      </c>
      <c r="N168" s="5" t="s">
        <v>12</v>
      </c>
      <c r="O168" s="5" t="s">
        <v>13</v>
      </c>
      <c r="P168" s="5" t="s">
        <v>14</v>
      </c>
      <c r="Q168" s="5" t="s">
        <v>15</v>
      </c>
      <c r="R168" s="5" t="s">
        <v>16</v>
      </c>
      <c r="S168" s="5" t="s">
        <v>234</v>
      </c>
    </row>
    <row r="169" spans="1:19">
      <c r="A169" s="115" t="s">
        <v>277</v>
      </c>
      <c r="B169" s="96"/>
      <c r="C169" s="96"/>
      <c r="D169" s="115">
        <f>SUM(D152:D166)-D167</f>
        <v>0</v>
      </c>
      <c r="E169" s="115">
        <f>SUM(E152:E166)-E167</f>
        <v>0</v>
      </c>
      <c r="F169" s="115">
        <f t="shared" ref="F169:J169" si="47">SUM(F152:F166)-F167</f>
        <v>0</v>
      </c>
      <c r="G169" s="115">
        <f t="shared" si="47"/>
        <v>0</v>
      </c>
      <c r="H169" s="115">
        <f t="shared" si="47"/>
        <v>0</v>
      </c>
      <c r="I169" s="115">
        <f t="shared" si="47"/>
        <v>0</v>
      </c>
      <c r="J169" s="115">
        <f t="shared" si="47"/>
        <v>0</v>
      </c>
      <c r="L169" t="s">
        <v>650</v>
      </c>
      <c r="M169" s="392" t="e">
        <f>+M160</f>
        <v>#REF!</v>
      </c>
      <c r="N169" s="392" t="e">
        <f t="shared" ref="N169:S170" si="48">+N160</f>
        <v>#REF!</v>
      </c>
      <c r="O169" s="392" t="e">
        <f t="shared" si="48"/>
        <v>#REF!</v>
      </c>
      <c r="P169" s="392" t="e">
        <f t="shared" si="48"/>
        <v>#REF!</v>
      </c>
      <c r="Q169" s="392" t="e">
        <f t="shared" si="48"/>
        <v>#REF!</v>
      </c>
      <c r="R169" s="392" t="e">
        <f t="shared" si="48"/>
        <v>#REF!</v>
      </c>
      <c r="S169" s="392" t="e">
        <f t="shared" si="48"/>
        <v>#REF!</v>
      </c>
    </row>
    <row r="170" spans="1:19">
      <c r="A170" s="94"/>
      <c r="B170" s="94"/>
      <c r="C170" s="94"/>
      <c r="D170" s="94"/>
      <c r="E170" s="94"/>
      <c r="F170" s="94"/>
      <c r="G170" s="94"/>
      <c r="H170" s="94"/>
      <c r="I170" s="94"/>
      <c r="J170" s="94"/>
      <c r="L170" s="94" t="s">
        <v>651</v>
      </c>
      <c r="M170" s="392" t="e">
        <f>+M161</f>
        <v>#REF!</v>
      </c>
      <c r="N170" s="392" t="e">
        <f t="shared" si="48"/>
        <v>#REF!</v>
      </c>
      <c r="O170" s="392" t="e">
        <f t="shared" si="48"/>
        <v>#REF!</v>
      </c>
      <c r="P170" s="392" t="e">
        <f t="shared" si="48"/>
        <v>#REF!</v>
      </c>
      <c r="Q170" s="392" t="e">
        <f t="shared" si="48"/>
        <v>#REF!</v>
      </c>
      <c r="R170" s="392" t="e">
        <f t="shared" si="48"/>
        <v>#REF!</v>
      </c>
      <c r="S170" s="392" t="e">
        <f t="shared" si="48"/>
        <v>#REF!</v>
      </c>
    </row>
    <row r="171" spans="1:19">
      <c r="A171" s="196" t="s">
        <v>264</v>
      </c>
      <c r="B171" s="196"/>
      <c r="C171" s="196"/>
      <c r="D171" s="115"/>
      <c r="E171" s="115"/>
      <c r="F171" s="115"/>
      <c r="G171" s="115"/>
      <c r="H171" s="115"/>
      <c r="I171" s="115"/>
      <c r="J171" s="115"/>
      <c r="L171" s="94" t="s">
        <v>655</v>
      </c>
      <c r="M171" s="392">
        <v>20</v>
      </c>
      <c r="N171" s="392">
        <v>20</v>
      </c>
      <c r="O171" s="392">
        <v>20</v>
      </c>
      <c r="P171" s="392">
        <v>20</v>
      </c>
      <c r="Q171" s="392">
        <v>20</v>
      </c>
      <c r="R171" s="392">
        <v>20</v>
      </c>
      <c r="S171" s="392">
        <v>20</v>
      </c>
    </row>
    <row r="172" spans="1:19">
      <c r="A172" s="95" t="s">
        <v>153</v>
      </c>
      <c r="B172" s="232">
        <v>1</v>
      </c>
      <c r="C172" s="256"/>
      <c r="D172" s="96">
        <f t="shared" ref="D172:J172" si="49">$B$172*$C$172*12*D133</f>
        <v>0</v>
      </c>
      <c r="E172" s="96">
        <f t="shared" si="49"/>
        <v>0</v>
      </c>
      <c r="F172" s="96">
        <f t="shared" si="49"/>
        <v>0</v>
      </c>
      <c r="G172" s="96">
        <f t="shared" si="49"/>
        <v>0</v>
      </c>
      <c r="H172" s="96">
        <f t="shared" si="49"/>
        <v>0</v>
      </c>
      <c r="I172" s="96">
        <f t="shared" si="49"/>
        <v>0</v>
      </c>
      <c r="J172" s="96">
        <f t="shared" si="49"/>
        <v>0</v>
      </c>
      <c r="L172" s="116" t="s">
        <v>656</v>
      </c>
      <c r="M172" s="394" t="e">
        <f>+M170/100*M171*M167</f>
        <v>#REF!</v>
      </c>
      <c r="N172" s="394" t="e">
        <f t="shared" ref="N172:S172" si="50">+N170/100*N171*N167</f>
        <v>#REF!</v>
      </c>
      <c r="O172" s="394" t="e">
        <f t="shared" si="50"/>
        <v>#REF!</v>
      </c>
      <c r="P172" s="394" t="e">
        <f t="shared" si="50"/>
        <v>#REF!</v>
      </c>
      <c r="Q172" s="394" t="e">
        <f t="shared" si="50"/>
        <v>#REF!</v>
      </c>
      <c r="R172" s="394" t="e">
        <f t="shared" si="50"/>
        <v>#REF!</v>
      </c>
      <c r="S172" s="394" t="e">
        <f t="shared" si="50"/>
        <v>#REF!</v>
      </c>
    </row>
    <row r="173" spans="1:19">
      <c r="A173" s="95"/>
      <c r="B173" s="232"/>
      <c r="C173" s="256"/>
      <c r="D173" s="96"/>
      <c r="E173" s="96"/>
      <c r="F173" s="96"/>
      <c r="G173" s="96"/>
      <c r="H173" s="96"/>
      <c r="I173" s="96"/>
      <c r="J173" s="96"/>
    </row>
    <row r="174" spans="1:19">
      <c r="A174" s="95"/>
      <c r="B174" s="232"/>
      <c r="C174" s="256"/>
      <c r="D174" s="96"/>
      <c r="E174" s="96"/>
      <c r="F174" s="96"/>
      <c r="G174" s="96"/>
      <c r="H174" s="96"/>
      <c r="I174" s="96"/>
      <c r="J174" s="96"/>
    </row>
    <row r="175" spans="1:19">
      <c r="A175" s="95"/>
      <c r="B175" s="232"/>
      <c r="C175" s="256"/>
      <c r="D175" s="96"/>
      <c r="E175" s="96"/>
      <c r="F175" s="96"/>
      <c r="G175" s="96"/>
      <c r="H175" s="96"/>
      <c r="I175" s="96"/>
      <c r="J175" s="96"/>
    </row>
    <row r="176" spans="1:19">
      <c r="A176" s="95"/>
      <c r="B176" s="232"/>
      <c r="C176" s="256"/>
      <c r="D176" s="96"/>
      <c r="E176" s="96"/>
      <c r="F176" s="96"/>
      <c r="G176" s="96"/>
      <c r="H176" s="96"/>
      <c r="I176" s="96"/>
      <c r="J176" s="96"/>
    </row>
    <row r="177" spans="1:10">
      <c r="A177" s="97" t="s">
        <v>264</v>
      </c>
      <c r="B177" s="97"/>
      <c r="C177" s="97"/>
      <c r="D177" s="115">
        <f t="shared" ref="D177:J177" si="51">SUM(D172:D176)</f>
        <v>0</v>
      </c>
      <c r="E177" s="115">
        <f t="shared" si="51"/>
        <v>0</v>
      </c>
      <c r="F177" s="115">
        <f t="shared" si="51"/>
        <v>0</v>
      </c>
      <c r="G177" s="115">
        <f t="shared" si="51"/>
        <v>0</v>
      </c>
      <c r="H177" s="115">
        <f t="shared" si="51"/>
        <v>0</v>
      </c>
      <c r="I177" s="115">
        <f t="shared" si="51"/>
        <v>0</v>
      </c>
      <c r="J177" s="115">
        <f t="shared" si="51"/>
        <v>0</v>
      </c>
    </row>
    <row r="178" spans="1:10">
      <c r="A178" s="196" t="s">
        <v>252</v>
      </c>
      <c r="B178" s="196"/>
      <c r="C178" s="196"/>
      <c r="D178" s="115">
        <f t="shared" ref="D178:J178" si="52">D169+D177</f>
        <v>0</v>
      </c>
      <c r="E178" s="115">
        <f t="shared" si="52"/>
        <v>0</v>
      </c>
      <c r="F178" s="115">
        <f t="shared" si="52"/>
        <v>0</v>
      </c>
      <c r="G178" s="115">
        <f t="shared" si="52"/>
        <v>0</v>
      </c>
      <c r="H178" s="115">
        <f t="shared" si="52"/>
        <v>0</v>
      </c>
      <c r="I178" s="115">
        <f t="shared" si="52"/>
        <v>0</v>
      </c>
      <c r="J178" s="115">
        <f t="shared" si="52"/>
        <v>0</v>
      </c>
    </row>
    <row r="179" spans="1:10">
      <c r="A179" s="95"/>
      <c r="B179" s="95"/>
      <c r="C179" s="95"/>
      <c r="D179" s="96"/>
      <c r="E179" s="96"/>
      <c r="F179" s="96"/>
      <c r="G179" s="96"/>
      <c r="H179" s="96"/>
      <c r="I179" s="96"/>
      <c r="J179" s="96"/>
    </row>
    <row r="180" spans="1:10">
      <c r="A180" s="97" t="s">
        <v>7</v>
      </c>
      <c r="B180" s="97"/>
      <c r="C180" s="97"/>
      <c r="D180" s="115">
        <f t="shared" ref="D180:J180" si="53">D148-D178</f>
        <v>0</v>
      </c>
      <c r="E180" s="115">
        <f t="shared" si="53"/>
        <v>0</v>
      </c>
      <c r="F180" s="115">
        <f t="shared" si="53"/>
        <v>0</v>
      </c>
      <c r="G180" s="115">
        <f t="shared" si="53"/>
        <v>0</v>
      </c>
      <c r="H180" s="115">
        <f t="shared" si="53"/>
        <v>0</v>
      </c>
      <c r="I180" s="115">
        <f t="shared" si="53"/>
        <v>0</v>
      </c>
      <c r="J180" s="115">
        <f t="shared" si="53"/>
        <v>0</v>
      </c>
    </row>
    <row r="181" spans="1:10">
      <c r="A181" s="116"/>
      <c r="B181" s="116"/>
      <c r="C181" s="116"/>
      <c r="D181" s="94"/>
      <c r="E181" s="94"/>
      <c r="F181" s="94"/>
      <c r="G181" s="94"/>
      <c r="H181" s="94"/>
      <c r="I181" s="94"/>
      <c r="J181" s="94"/>
    </row>
    <row r="182" spans="1:10">
      <c r="A182" s="94"/>
      <c r="B182" s="94"/>
      <c r="C182" s="94"/>
      <c r="D182" s="94"/>
      <c r="E182" s="94"/>
      <c r="F182" s="94"/>
      <c r="G182" s="94"/>
      <c r="H182" s="94"/>
      <c r="I182" s="94"/>
      <c r="J182" s="94"/>
    </row>
    <row r="183" spans="1:10">
      <c r="A183" s="94"/>
      <c r="B183" s="94"/>
      <c r="C183" s="94"/>
      <c r="D183" s="94"/>
      <c r="E183" s="94"/>
      <c r="F183" s="94"/>
      <c r="G183" s="94"/>
      <c r="H183" s="94"/>
      <c r="I183" s="94"/>
      <c r="J183" s="94"/>
    </row>
    <row r="184" spans="1:10">
      <c r="A184" s="402" t="s">
        <v>385</v>
      </c>
      <c r="B184" s="402"/>
      <c r="C184" s="402"/>
      <c r="D184" s="402"/>
      <c r="E184" s="402"/>
      <c r="F184" s="402"/>
      <c r="G184" s="402"/>
      <c r="H184" s="402"/>
      <c r="I184" s="402"/>
      <c r="J184" s="402"/>
    </row>
    <row r="186" spans="1:10">
      <c r="A186" t="s">
        <v>492</v>
      </c>
    </row>
    <row r="187" spans="1:10">
      <c r="A187">
        <v>1</v>
      </c>
      <c r="B187" t="s">
        <v>505</v>
      </c>
    </row>
    <row r="188" spans="1:10">
      <c r="A188">
        <v>2</v>
      </c>
      <c r="B188" t="s">
        <v>506</v>
      </c>
    </row>
    <row r="189" spans="1:10">
      <c r="A189">
        <v>3</v>
      </c>
      <c r="B189" s="94" t="s">
        <v>557</v>
      </c>
    </row>
  </sheetData>
  <mergeCells count="4">
    <mergeCell ref="A131:J131"/>
    <mergeCell ref="A3:H3"/>
    <mergeCell ref="A184:J184"/>
    <mergeCell ref="A4:H4"/>
  </mergeCells>
  <pageMargins left="0.7" right="0.7" top="0.75" bottom="0.75" header="0.3" footer="0.3"/>
  <pageSetup paperSize="9" scale="48" orientation="portrait"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view="pageBreakPreview" zoomScaleSheetLayoutView="100" workbookViewId="0">
      <selection activeCell="C38" sqref="C38"/>
    </sheetView>
  </sheetViews>
  <sheetFormatPr defaultRowHeight="15"/>
  <cols>
    <col min="1" max="1" width="30.42578125" bestFit="1" customWidth="1"/>
    <col min="2" max="2" width="9.85546875" customWidth="1"/>
    <col min="3" max="3" width="11.140625" customWidth="1"/>
    <col min="4" max="10" width="10.42578125" bestFit="1" customWidth="1"/>
  </cols>
  <sheetData>
    <row r="2" spans="1:10" ht="18.75">
      <c r="A2" s="492" t="s">
        <v>544</v>
      </c>
      <c r="B2" s="492"/>
      <c r="C2" s="492"/>
      <c r="D2" s="492"/>
      <c r="E2" s="492"/>
      <c r="F2" s="492"/>
      <c r="G2" s="492"/>
      <c r="H2" s="492"/>
    </row>
    <row r="3" spans="1:10" ht="18.75">
      <c r="A3" s="492" t="s">
        <v>545</v>
      </c>
      <c r="B3" s="492"/>
      <c r="C3" s="492"/>
      <c r="D3" s="492"/>
      <c r="E3" s="492"/>
      <c r="F3" s="492"/>
      <c r="G3" s="492"/>
      <c r="H3" s="492"/>
    </row>
    <row r="4" spans="1:10">
      <c r="A4" s="187" t="s">
        <v>126</v>
      </c>
      <c r="B4" s="261">
        <v>0</v>
      </c>
      <c r="C4" s="185" t="s">
        <v>253</v>
      </c>
      <c r="D4" s="185"/>
      <c r="E4" s="185"/>
      <c r="F4" s="185"/>
      <c r="G4" s="186"/>
      <c r="H4" s="94"/>
    </row>
    <row r="5" spans="1:10">
      <c r="A5" s="187"/>
      <c r="B5" s="188"/>
      <c r="C5" s="186"/>
      <c r="D5" s="186"/>
      <c r="E5" s="186"/>
      <c r="F5" s="186"/>
      <c r="G5" s="186"/>
      <c r="H5" s="94"/>
    </row>
    <row r="6" spans="1:10">
      <c r="A6" s="187" t="s">
        <v>255</v>
      </c>
      <c r="B6" s="189">
        <v>12</v>
      </c>
      <c r="C6" s="186"/>
      <c r="D6" s="189"/>
      <c r="E6" s="189"/>
      <c r="F6" s="186"/>
      <c r="G6" s="186"/>
      <c r="H6" s="94"/>
    </row>
    <row r="7" spans="1:10">
      <c r="A7" s="187"/>
      <c r="B7" s="94"/>
      <c r="C7" s="189"/>
      <c r="D7" s="189"/>
      <c r="E7" s="189"/>
      <c r="F7" s="186"/>
      <c r="G7" s="186"/>
      <c r="H7" s="94"/>
    </row>
    <row r="8" spans="1:10">
      <c r="A8" s="148" t="s">
        <v>92</v>
      </c>
      <c r="B8" s="120" t="s">
        <v>2</v>
      </c>
      <c r="C8" s="120" t="s">
        <v>3</v>
      </c>
      <c r="D8" s="120" t="s">
        <v>4</v>
      </c>
      <c r="E8" s="120" t="s">
        <v>5</v>
      </c>
      <c r="F8" s="120" t="s">
        <v>6</v>
      </c>
      <c r="G8" s="120" t="s">
        <v>134</v>
      </c>
      <c r="H8" s="120" t="s">
        <v>133</v>
      </c>
    </row>
    <row r="9" spans="1:10">
      <c r="A9" s="95" t="s">
        <v>256</v>
      </c>
      <c r="B9" s="281">
        <v>0.8</v>
      </c>
      <c r="C9" s="281">
        <f>B9+5%</f>
        <v>0.85000000000000009</v>
      </c>
      <c r="D9" s="281">
        <f>C9+5%</f>
        <v>0.90000000000000013</v>
      </c>
      <c r="E9" s="281">
        <f>D9+5%</f>
        <v>0.95000000000000018</v>
      </c>
      <c r="F9" s="281">
        <f>E9+5%</f>
        <v>1.0000000000000002</v>
      </c>
      <c r="G9" s="281">
        <f>F9</f>
        <v>1.0000000000000002</v>
      </c>
      <c r="H9" s="281">
        <f>G9</f>
        <v>1.0000000000000002</v>
      </c>
    </row>
    <row r="10" spans="1:10">
      <c r="A10" s="97" t="s">
        <v>278</v>
      </c>
      <c r="B10" s="191">
        <f t="shared" ref="B10:H10" si="0">$B$4*B9*$B$6</f>
        <v>0</v>
      </c>
      <c r="C10" s="191">
        <f t="shared" si="0"/>
        <v>0</v>
      </c>
      <c r="D10" s="191">
        <f t="shared" si="0"/>
        <v>0</v>
      </c>
      <c r="E10" s="191">
        <f t="shared" si="0"/>
        <v>0</v>
      </c>
      <c r="F10" s="191">
        <f t="shared" si="0"/>
        <v>0</v>
      </c>
      <c r="G10" s="191">
        <f t="shared" si="0"/>
        <v>0</v>
      </c>
      <c r="H10" s="191">
        <f t="shared" si="0"/>
        <v>0</v>
      </c>
    </row>
    <row r="15" spans="1:10" ht="18.75">
      <c r="A15" s="425" t="s">
        <v>546</v>
      </c>
      <c r="B15" s="425"/>
      <c r="C15" s="425"/>
      <c r="D15" s="425"/>
      <c r="E15" s="425"/>
      <c r="F15" s="425"/>
      <c r="G15" s="425"/>
      <c r="H15" s="425"/>
      <c r="I15" s="425"/>
      <c r="J15" s="425"/>
    </row>
    <row r="16" spans="1:10">
      <c r="A16" s="14"/>
      <c r="B16" s="62"/>
      <c r="C16" s="30"/>
      <c r="D16" s="14"/>
      <c r="E16" s="14"/>
      <c r="F16" s="14"/>
      <c r="G16" s="14"/>
      <c r="H16" s="14"/>
    </row>
    <row r="17" spans="1:10">
      <c r="A17" s="94"/>
      <c r="B17" s="94"/>
      <c r="C17" s="94"/>
      <c r="D17" s="179">
        <v>1</v>
      </c>
      <c r="E17" s="184">
        <f>(D17*5%)+D17</f>
        <v>1.05</v>
      </c>
      <c r="F17" s="184">
        <f t="shared" ref="F17:J17" si="1">(E17*5%)+E17</f>
        <v>1.1025</v>
      </c>
      <c r="G17" s="184">
        <f t="shared" si="1"/>
        <v>1.1576250000000001</v>
      </c>
      <c r="H17" s="184">
        <f t="shared" si="1"/>
        <v>1.2155062500000002</v>
      </c>
      <c r="I17" s="184">
        <f t="shared" si="1"/>
        <v>1.2762815625000004</v>
      </c>
      <c r="J17" s="184">
        <f t="shared" si="1"/>
        <v>1.3400956406250004</v>
      </c>
    </row>
    <row r="18" spans="1:10">
      <c r="A18" s="148" t="s">
        <v>0</v>
      </c>
      <c r="B18" s="148" t="s">
        <v>97</v>
      </c>
      <c r="C18" s="148" t="s">
        <v>118</v>
      </c>
      <c r="D18" s="120" t="s">
        <v>2</v>
      </c>
      <c r="E18" s="120" t="s">
        <v>3</v>
      </c>
      <c r="F18" s="120" t="s">
        <v>4</v>
      </c>
      <c r="G18" s="120" t="s">
        <v>5</v>
      </c>
      <c r="H18" s="120" t="s">
        <v>6</v>
      </c>
      <c r="I18" s="120" t="s">
        <v>134</v>
      </c>
      <c r="J18" s="120" t="s">
        <v>133</v>
      </c>
    </row>
    <row r="19" spans="1:10">
      <c r="A19" s="95"/>
      <c r="B19" s="95"/>
      <c r="C19" s="95"/>
      <c r="D19" s="95"/>
      <c r="E19" s="95"/>
      <c r="F19" s="95"/>
      <c r="G19" s="95"/>
      <c r="H19" s="95"/>
      <c r="I19" s="95"/>
      <c r="J19" s="95"/>
    </row>
    <row r="20" spans="1:10">
      <c r="A20" s="97" t="s">
        <v>142</v>
      </c>
      <c r="B20" s="97"/>
      <c r="C20" s="97"/>
      <c r="D20" s="95"/>
      <c r="E20" s="95"/>
      <c r="F20" s="95"/>
      <c r="G20" s="95"/>
      <c r="H20" s="95"/>
      <c r="I20" s="95"/>
      <c r="J20" s="95"/>
    </row>
    <row r="21" spans="1:10">
      <c r="A21" s="95" t="s">
        <v>280</v>
      </c>
      <c r="B21" s="95"/>
      <c r="C21" s="256">
        <v>100</v>
      </c>
      <c r="D21" s="96">
        <f t="shared" ref="D21:J21" si="2">B10*$C$21*D17</f>
        <v>0</v>
      </c>
      <c r="E21" s="96">
        <f t="shared" si="2"/>
        <v>0</v>
      </c>
      <c r="F21" s="96">
        <f t="shared" si="2"/>
        <v>0</v>
      </c>
      <c r="G21" s="96">
        <f t="shared" si="2"/>
        <v>0</v>
      </c>
      <c r="H21" s="96">
        <f t="shared" si="2"/>
        <v>0</v>
      </c>
      <c r="I21" s="96">
        <f t="shared" si="2"/>
        <v>0</v>
      </c>
      <c r="J21" s="96">
        <f t="shared" si="2"/>
        <v>0</v>
      </c>
    </row>
    <row r="22" spans="1:10">
      <c r="A22" s="95"/>
      <c r="B22" s="95"/>
      <c r="C22" s="96"/>
      <c r="D22" s="96"/>
      <c r="E22" s="96"/>
      <c r="F22" s="96"/>
      <c r="G22" s="96"/>
      <c r="H22" s="96"/>
      <c r="I22" s="96"/>
      <c r="J22" s="96"/>
    </row>
    <row r="23" spans="1:10">
      <c r="A23" s="97" t="s">
        <v>108</v>
      </c>
      <c r="B23" s="97"/>
      <c r="C23" s="115"/>
      <c r="D23" s="96">
        <f t="shared" ref="D23:J23" si="3">SUM(D21:D21)</f>
        <v>0</v>
      </c>
      <c r="E23" s="96">
        <f t="shared" si="3"/>
        <v>0</v>
      </c>
      <c r="F23" s="96">
        <f t="shared" si="3"/>
        <v>0</v>
      </c>
      <c r="G23" s="96">
        <f t="shared" si="3"/>
        <v>0</v>
      </c>
      <c r="H23" s="96">
        <f t="shared" si="3"/>
        <v>0</v>
      </c>
      <c r="I23" s="96">
        <f t="shared" si="3"/>
        <v>0</v>
      </c>
      <c r="J23" s="96">
        <f t="shared" si="3"/>
        <v>0</v>
      </c>
    </row>
    <row r="24" spans="1:10">
      <c r="A24" s="95"/>
      <c r="B24" s="95"/>
      <c r="C24" s="96"/>
      <c r="D24" s="96"/>
      <c r="E24" s="96"/>
      <c r="F24" s="96"/>
      <c r="G24" s="96"/>
      <c r="H24" s="96"/>
      <c r="I24" s="96"/>
      <c r="J24" s="96"/>
    </row>
    <row r="25" spans="1:10">
      <c r="A25" s="97" t="s">
        <v>107</v>
      </c>
      <c r="B25" s="97"/>
      <c r="C25" s="96"/>
      <c r="D25" s="96"/>
      <c r="E25" s="96"/>
      <c r="F25" s="96"/>
      <c r="G25" s="96"/>
      <c r="H25" s="96"/>
      <c r="I25" s="96"/>
      <c r="J25" s="96"/>
    </row>
    <row r="26" spans="1:10">
      <c r="A26" s="97" t="s">
        <v>266</v>
      </c>
      <c r="B26" s="97"/>
      <c r="C26" s="96"/>
      <c r="D26" s="96"/>
      <c r="E26" s="96"/>
      <c r="F26" s="96"/>
      <c r="G26" s="96"/>
      <c r="H26" s="96"/>
      <c r="I26" s="96"/>
      <c r="J26" s="96"/>
    </row>
    <row r="27" spans="1:10">
      <c r="A27" s="95" t="s">
        <v>257</v>
      </c>
      <c r="B27" s="232" t="s">
        <v>253</v>
      </c>
      <c r="C27" s="256">
        <v>15</v>
      </c>
      <c r="D27" s="96">
        <f t="shared" ref="D27:J27" si="4">$B$4*$C$27*D17*4</f>
        <v>0</v>
      </c>
      <c r="E27" s="96">
        <f t="shared" si="4"/>
        <v>0</v>
      </c>
      <c r="F27" s="96">
        <f t="shared" si="4"/>
        <v>0</v>
      </c>
      <c r="G27" s="96">
        <f t="shared" si="4"/>
        <v>0</v>
      </c>
      <c r="H27" s="96">
        <f t="shared" si="4"/>
        <v>0</v>
      </c>
      <c r="I27" s="96">
        <f t="shared" si="4"/>
        <v>0</v>
      </c>
      <c r="J27" s="96">
        <f t="shared" si="4"/>
        <v>0</v>
      </c>
    </row>
    <row r="28" spans="1:10">
      <c r="A28" s="95" t="s">
        <v>258</v>
      </c>
      <c r="B28" s="232" t="s">
        <v>253</v>
      </c>
      <c r="C28" s="256">
        <v>14</v>
      </c>
      <c r="D28" s="96">
        <f t="shared" ref="D28:J28" si="5">$B$4*$C$28*D17*12</f>
        <v>0</v>
      </c>
      <c r="E28" s="96">
        <f t="shared" si="5"/>
        <v>0</v>
      </c>
      <c r="F28" s="96">
        <f t="shared" si="5"/>
        <v>0</v>
      </c>
      <c r="G28" s="96">
        <f t="shared" si="5"/>
        <v>0</v>
      </c>
      <c r="H28" s="96">
        <f t="shared" si="5"/>
        <v>0</v>
      </c>
      <c r="I28" s="96">
        <f t="shared" si="5"/>
        <v>0</v>
      </c>
      <c r="J28" s="96">
        <f t="shared" si="5"/>
        <v>0</v>
      </c>
    </row>
    <row r="29" spans="1:10">
      <c r="A29" s="95" t="s">
        <v>259</v>
      </c>
      <c r="B29" s="232"/>
      <c r="C29" s="256">
        <v>0</v>
      </c>
      <c r="D29" s="96">
        <f>$C$29*12*D17</f>
        <v>0</v>
      </c>
      <c r="E29" s="96">
        <f t="shared" ref="E29:J29" si="6">$C$29*12*E17</f>
        <v>0</v>
      </c>
      <c r="F29" s="96">
        <f t="shared" si="6"/>
        <v>0</v>
      </c>
      <c r="G29" s="96">
        <f t="shared" si="6"/>
        <v>0</v>
      </c>
      <c r="H29" s="96">
        <f t="shared" si="6"/>
        <v>0</v>
      </c>
      <c r="I29" s="96">
        <f t="shared" si="6"/>
        <v>0</v>
      </c>
      <c r="J29" s="96">
        <f t="shared" si="6"/>
        <v>0</v>
      </c>
    </row>
    <row r="30" spans="1:10">
      <c r="A30" s="95"/>
      <c r="B30" s="232"/>
      <c r="C30" s="256"/>
      <c r="D30" s="96"/>
      <c r="E30" s="96"/>
      <c r="F30" s="96"/>
      <c r="G30" s="96"/>
      <c r="H30" s="96"/>
      <c r="I30" s="96"/>
      <c r="J30" s="96"/>
    </row>
    <row r="31" spans="1:10">
      <c r="A31" s="95"/>
      <c r="B31" s="232"/>
      <c r="C31" s="256"/>
      <c r="D31" s="96"/>
      <c r="E31" s="96"/>
      <c r="F31" s="96"/>
      <c r="G31" s="96"/>
      <c r="H31" s="96"/>
      <c r="I31" s="96"/>
      <c r="J31" s="96"/>
    </row>
    <row r="32" spans="1:10">
      <c r="A32" s="95"/>
      <c r="B32" s="232"/>
      <c r="C32" s="256"/>
      <c r="D32" s="96"/>
      <c r="E32" s="96"/>
      <c r="F32" s="96"/>
      <c r="G32" s="96"/>
      <c r="H32" s="96"/>
      <c r="I32" s="96"/>
      <c r="J32" s="96"/>
    </row>
    <row r="33" spans="1:10">
      <c r="A33" s="95"/>
      <c r="B33" s="232"/>
      <c r="C33" s="256"/>
      <c r="D33" s="96"/>
      <c r="E33" s="96"/>
      <c r="F33" s="96"/>
      <c r="G33" s="96"/>
      <c r="H33" s="96"/>
      <c r="I33" s="96"/>
      <c r="J33" s="96"/>
    </row>
    <row r="34" spans="1:10">
      <c r="A34" s="97" t="s">
        <v>277</v>
      </c>
      <c r="B34" s="237"/>
      <c r="C34" s="260"/>
      <c r="D34" s="115">
        <f>SUM(D27:D33)</f>
        <v>0</v>
      </c>
      <c r="E34" s="115">
        <f t="shared" ref="E34:J34" si="7">SUM(E27:E33)</f>
        <v>0</v>
      </c>
      <c r="F34" s="115">
        <f t="shared" si="7"/>
        <v>0</v>
      </c>
      <c r="G34" s="115">
        <f t="shared" si="7"/>
        <v>0</v>
      </c>
      <c r="H34" s="115">
        <f t="shared" si="7"/>
        <v>0</v>
      </c>
      <c r="I34" s="115">
        <f t="shared" si="7"/>
        <v>0</v>
      </c>
      <c r="J34" s="115">
        <f t="shared" si="7"/>
        <v>0</v>
      </c>
    </row>
    <row r="35" spans="1:10">
      <c r="A35" s="97"/>
      <c r="B35" s="237"/>
      <c r="C35" s="260"/>
      <c r="D35" s="115"/>
      <c r="E35" s="115"/>
      <c r="F35" s="115"/>
      <c r="G35" s="115"/>
      <c r="H35" s="115"/>
      <c r="I35" s="115"/>
      <c r="J35" s="115"/>
    </row>
    <row r="36" spans="1:10">
      <c r="A36" s="97" t="s">
        <v>264</v>
      </c>
      <c r="B36" s="232"/>
      <c r="C36" s="256"/>
      <c r="D36" s="96"/>
      <c r="E36" s="96"/>
      <c r="F36" s="96"/>
      <c r="G36" s="96"/>
      <c r="H36" s="96"/>
      <c r="I36" s="96"/>
      <c r="J36" s="96"/>
    </row>
    <row r="37" spans="1:10">
      <c r="A37" s="95" t="s">
        <v>279</v>
      </c>
      <c r="B37" s="232">
        <v>1</v>
      </c>
      <c r="C37" s="256">
        <v>0</v>
      </c>
      <c r="D37" s="96">
        <f>$B$37*$C$37*D17*12</f>
        <v>0</v>
      </c>
      <c r="E37" s="96">
        <f t="shared" ref="E37:J37" si="8">$B$37*$C$37*E17*12</f>
        <v>0</v>
      </c>
      <c r="F37" s="96">
        <f t="shared" si="8"/>
        <v>0</v>
      </c>
      <c r="G37" s="96">
        <f t="shared" si="8"/>
        <v>0</v>
      </c>
      <c r="H37" s="96">
        <f t="shared" si="8"/>
        <v>0</v>
      </c>
      <c r="I37" s="96">
        <f t="shared" si="8"/>
        <v>0</v>
      </c>
      <c r="J37" s="96">
        <f t="shared" si="8"/>
        <v>0</v>
      </c>
    </row>
    <row r="38" spans="1:10">
      <c r="A38" s="95"/>
      <c r="B38" s="232"/>
      <c r="C38" s="256"/>
      <c r="D38" s="96"/>
      <c r="E38" s="96"/>
      <c r="F38" s="96"/>
      <c r="G38" s="96"/>
      <c r="H38" s="96"/>
      <c r="I38" s="96"/>
      <c r="J38" s="96"/>
    </row>
    <row r="39" spans="1:10">
      <c r="A39" s="95"/>
      <c r="B39" s="232"/>
      <c r="C39" s="256"/>
      <c r="D39" s="96"/>
      <c r="E39" s="96"/>
      <c r="F39" s="96"/>
      <c r="G39" s="96"/>
      <c r="H39" s="96"/>
      <c r="I39" s="96"/>
      <c r="J39" s="96"/>
    </row>
    <row r="40" spans="1:10">
      <c r="A40" s="95"/>
      <c r="B40" s="232"/>
      <c r="C40" s="256"/>
      <c r="D40" s="96"/>
      <c r="E40" s="96"/>
      <c r="F40" s="96"/>
      <c r="G40" s="96"/>
      <c r="H40" s="96"/>
      <c r="I40" s="96"/>
      <c r="J40" s="96"/>
    </row>
    <row r="41" spans="1:10">
      <c r="A41" s="95"/>
      <c r="B41" s="232"/>
      <c r="C41" s="256"/>
      <c r="D41" s="96"/>
      <c r="E41" s="96"/>
      <c r="F41" s="96"/>
      <c r="G41" s="96"/>
      <c r="H41" s="96"/>
      <c r="I41" s="96"/>
      <c r="J41" s="96"/>
    </row>
    <row r="42" spans="1:10">
      <c r="A42" s="95"/>
      <c r="B42" s="232"/>
      <c r="C42" s="256"/>
      <c r="D42" s="96"/>
      <c r="E42" s="96"/>
      <c r="F42" s="96"/>
      <c r="G42" s="96"/>
      <c r="H42" s="96"/>
      <c r="I42" s="96"/>
      <c r="J42" s="96"/>
    </row>
    <row r="43" spans="1:10">
      <c r="A43" s="97" t="s">
        <v>281</v>
      </c>
      <c r="B43" s="97"/>
      <c r="C43" s="115"/>
      <c r="D43" s="115">
        <f>SUM(D37:D42)</f>
        <v>0</v>
      </c>
      <c r="E43" s="115">
        <f t="shared" ref="E43:J43" si="9">SUM(E37:E42)</f>
        <v>0</v>
      </c>
      <c r="F43" s="115">
        <f t="shared" si="9"/>
        <v>0</v>
      </c>
      <c r="G43" s="115">
        <f t="shared" si="9"/>
        <v>0</v>
      </c>
      <c r="H43" s="115">
        <f t="shared" si="9"/>
        <v>0</v>
      </c>
      <c r="I43" s="115">
        <f t="shared" si="9"/>
        <v>0</v>
      </c>
      <c r="J43" s="115">
        <f t="shared" si="9"/>
        <v>0</v>
      </c>
    </row>
    <row r="44" spans="1:10">
      <c r="A44" s="97"/>
      <c r="B44" s="97"/>
      <c r="C44" s="115"/>
      <c r="D44" s="115"/>
      <c r="E44" s="115"/>
      <c r="F44" s="115"/>
      <c r="G44" s="115"/>
      <c r="H44" s="115"/>
      <c r="I44" s="115"/>
      <c r="J44" s="115"/>
    </row>
    <row r="45" spans="1:10">
      <c r="A45" s="97" t="s">
        <v>94</v>
      </c>
      <c r="B45" s="97"/>
      <c r="C45" s="115"/>
      <c r="D45" s="115">
        <f>D34+D43</f>
        <v>0</v>
      </c>
      <c r="E45" s="115">
        <f t="shared" ref="E45:J45" si="10">E34+E43</f>
        <v>0</v>
      </c>
      <c r="F45" s="115">
        <f t="shared" si="10"/>
        <v>0</v>
      </c>
      <c r="G45" s="115">
        <f t="shared" si="10"/>
        <v>0</v>
      </c>
      <c r="H45" s="115">
        <f t="shared" si="10"/>
        <v>0</v>
      </c>
      <c r="I45" s="115">
        <f t="shared" si="10"/>
        <v>0</v>
      </c>
      <c r="J45" s="115">
        <f t="shared" si="10"/>
        <v>0</v>
      </c>
    </row>
    <row r="46" spans="1:10">
      <c r="A46" s="95"/>
      <c r="B46" s="95"/>
      <c r="C46" s="96"/>
      <c r="D46" s="96"/>
      <c r="E46" s="96"/>
      <c r="F46" s="96"/>
      <c r="G46" s="96"/>
      <c r="H46" s="96"/>
      <c r="I46" s="96"/>
      <c r="J46" s="96"/>
    </row>
    <row r="47" spans="1:10">
      <c r="A47" s="97" t="s">
        <v>93</v>
      </c>
      <c r="B47" s="97"/>
      <c r="C47" s="115"/>
      <c r="D47" s="115">
        <f t="shared" ref="D47:J47" si="11">D23-D45</f>
        <v>0</v>
      </c>
      <c r="E47" s="115">
        <f t="shared" si="11"/>
        <v>0</v>
      </c>
      <c r="F47" s="115">
        <f t="shared" si="11"/>
        <v>0</v>
      </c>
      <c r="G47" s="115">
        <f t="shared" si="11"/>
        <v>0</v>
      </c>
      <c r="H47" s="115">
        <f t="shared" si="11"/>
        <v>0</v>
      </c>
      <c r="I47" s="115">
        <f t="shared" si="11"/>
        <v>0</v>
      </c>
      <c r="J47" s="115">
        <f t="shared" si="11"/>
        <v>0</v>
      </c>
    </row>
    <row r="48" spans="1:10">
      <c r="A48" s="94"/>
      <c r="B48" s="94"/>
      <c r="C48" s="94"/>
      <c r="D48" s="94"/>
      <c r="E48" s="94"/>
      <c r="F48" s="94"/>
      <c r="G48" s="94"/>
      <c r="H48" s="94"/>
      <c r="I48" s="94"/>
      <c r="J48" s="94"/>
    </row>
    <row r="49" spans="1:10">
      <c r="A49" s="94"/>
    </row>
    <row r="51" spans="1:10">
      <c r="A51" s="402" t="s">
        <v>385</v>
      </c>
      <c r="B51" s="402"/>
      <c r="C51" s="402"/>
      <c r="D51" s="402"/>
      <c r="E51" s="402"/>
      <c r="F51" s="402"/>
      <c r="G51" s="402"/>
      <c r="H51" s="402"/>
      <c r="I51" s="402"/>
      <c r="J51" s="402"/>
    </row>
    <row r="53" spans="1:10">
      <c r="A53" t="s">
        <v>492</v>
      </c>
    </row>
    <row r="54" spans="1:10">
      <c r="A54">
        <v>1</v>
      </c>
      <c r="B54" t="s">
        <v>505</v>
      </c>
    </row>
    <row r="55" spans="1:10">
      <c r="A55">
        <v>2</v>
      </c>
      <c r="B55" t="s">
        <v>506</v>
      </c>
    </row>
    <row r="56" spans="1:10">
      <c r="A56">
        <v>3</v>
      </c>
      <c r="B56" s="94" t="s">
        <v>557</v>
      </c>
    </row>
  </sheetData>
  <mergeCells count="4">
    <mergeCell ref="A15:J15"/>
    <mergeCell ref="A2:H2"/>
    <mergeCell ref="A51:J51"/>
    <mergeCell ref="A3:H3"/>
  </mergeCells>
  <pageMargins left="0.7" right="0.7" top="0.75" bottom="0.75" header="0.3" footer="0.3"/>
  <pageSetup paperSize="9" scale="4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view="pageBreakPreview" topLeftCell="A31" zoomScale="80" zoomScaleSheetLayoutView="80" workbookViewId="0">
      <selection activeCell="D55" sqref="D55"/>
    </sheetView>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25" t="s">
        <v>547</v>
      </c>
      <c r="B3" s="425"/>
      <c r="C3" s="425"/>
      <c r="D3" s="425"/>
      <c r="E3" s="425"/>
      <c r="F3" s="425"/>
      <c r="G3" s="425"/>
      <c r="H3" s="425"/>
      <c r="I3" s="425"/>
      <c r="J3" s="425"/>
      <c r="K3" s="425"/>
      <c r="L3" s="425"/>
    </row>
    <row r="4" spans="1:13" ht="18.75">
      <c r="A4" s="425" t="s">
        <v>548</v>
      </c>
      <c r="B4" s="425"/>
      <c r="C4" s="425"/>
      <c r="D4" s="425"/>
      <c r="E4" s="425"/>
      <c r="F4" s="425"/>
      <c r="G4" s="425"/>
      <c r="H4" s="425"/>
      <c r="I4" s="425"/>
      <c r="J4" s="425"/>
      <c r="K4" s="425"/>
      <c r="L4" s="425"/>
    </row>
    <row r="5" spans="1:13">
      <c r="A5" s="94"/>
      <c r="B5" s="94"/>
      <c r="C5" s="94"/>
    </row>
    <row r="6" spans="1:13">
      <c r="A6" s="94"/>
      <c r="B6" s="94"/>
      <c r="C6" s="94"/>
    </row>
    <row r="7" spans="1:13" ht="45">
      <c r="A7" s="292" t="s">
        <v>110</v>
      </c>
      <c r="B7" s="293" t="s">
        <v>393</v>
      </c>
      <c r="C7" s="293" t="s">
        <v>401</v>
      </c>
      <c r="D7" s="293" t="s">
        <v>399</v>
      </c>
      <c r="E7" s="293" t="s">
        <v>400</v>
      </c>
      <c r="F7" s="293" t="s">
        <v>260</v>
      </c>
      <c r="G7" s="293" t="s">
        <v>402</v>
      </c>
      <c r="H7" s="293" t="s">
        <v>403</v>
      </c>
      <c r="I7" s="293" t="s">
        <v>404</v>
      </c>
      <c r="J7" s="295" t="s">
        <v>407</v>
      </c>
      <c r="K7" s="293" t="s">
        <v>405</v>
      </c>
      <c r="L7" s="295" t="s">
        <v>406</v>
      </c>
      <c r="M7" s="293" t="s">
        <v>409</v>
      </c>
    </row>
    <row r="8" spans="1:13">
      <c r="A8" s="294">
        <v>1</v>
      </c>
      <c r="B8" s="288" t="s">
        <v>394</v>
      </c>
      <c r="C8" s="288"/>
      <c r="D8" s="288"/>
      <c r="E8" s="288">
        <v>6</v>
      </c>
      <c r="F8" s="297">
        <f>D8*E8*C8</f>
        <v>0</v>
      </c>
      <c r="G8" s="288">
        <v>4</v>
      </c>
      <c r="H8" s="297">
        <f>F8/G8</f>
        <v>0</v>
      </c>
      <c r="I8" s="288">
        <v>12</v>
      </c>
      <c r="J8" s="297">
        <f>H8*I8</f>
        <v>0</v>
      </c>
      <c r="K8" s="288">
        <v>3000</v>
      </c>
      <c r="L8" s="288">
        <v>1</v>
      </c>
      <c r="M8" s="297">
        <f t="shared" ref="M8:M17" si="0">D8*L8</f>
        <v>0</v>
      </c>
    </row>
    <row r="9" spans="1:13">
      <c r="A9" s="294">
        <v>2</v>
      </c>
      <c r="B9" s="288" t="s">
        <v>395</v>
      </c>
      <c r="C9" s="288"/>
      <c r="D9" s="288"/>
      <c r="E9" s="288">
        <v>6</v>
      </c>
      <c r="F9" s="297">
        <f t="shared" ref="F9:F17" si="1">D9*E9*C9</f>
        <v>0</v>
      </c>
      <c r="G9" s="288">
        <v>2</v>
      </c>
      <c r="H9" s="297">
        <f>F9/G9</f>
        <v>0</v>
      </c>
      <c r="I9" s="288">
        <v>8</v>
      </c>
      <c r="J9" s="297">
        <f t="shared" ref="J9:J17" si="2">H9*I9</f>
        <v>0</v>
      </c>
      <c r="K9" s="288">
        <v>1800</v>
      </c>
      <c r="L9" s="288">
        <v>1</v>
      </c>
      <c r="M9" s="297">
        <f t="shared" si="0"/>
        <v>0</v>
      </c>
    </row>
    <row r="10" spans="1:13">
      <c r="A10" s="294">
        <v>3</v>
      </c>
      <c r="B10" s="288" t="s">
        <v>396</v>
      </c>
      <c r="C10" s="288"/>
      <c r="D10" s="288"/>
      <c r="E10" s="288">
        <v>6</v>
      </c>
      <c r="F10" s="297">
        <f t="shared" si="1"/>
        <v>0</v>
      </c>
      <c r="G10" s="288">
        <v>2</v>
      </c>
      <c r="H10" s="297">
        <f>F10/G10</f>
        <v>0</v>
      </c>
      <c r="I10" s="288">
        <v>8</v>
      </c>
      <c r="J10" s="297">
        <f t="shared" si="2"/>
        <v>0</v>
      </c>
      <c r="K10" s="288">
        <v>1800</v>
      </c>
      <c r="L10" s="288">
        <v>1</v>
      </c>
      <c r="M10" s="297">
        <f t="shared" si="0"/>
        <v>0</v>
      </c>
    </row>
    <row r="11" spans="1:13">
      <c r="A11" s="294">
        <v>4</v>
      </c>
      <c r="B11" s="288" t="s">
        <v>397</v>
      </c>
      <c r="C11" s="288"/>
      <c r="D11" s="288"/>
      <c r="E11" s="288">
        <v>6</v>
      </c>
      <c r="F11" s="297">
        <f t="shared" si="1"/>
        <v>0</v>
      </c>
      <c r="G11" s="288">
        <v>2</v>
      </c>
      <c r="H11" s="297">
        <f>F11/G11</f>
        <v>0</v>
      </c>
      <c r="I11" s="288">
        <v>4</v>
      </c>
      <c r="J11" s="297">
        <f t="shared" si="2"/>
        <v>0</v>
      </c>
      <c r="K11" s="288">
        <v>1200</v>
      </c>
      <c r="L11" s="288">
        <v>1</v>
      </c>
      <c r="M11" s="297">
        <f t="shared" si="0"/>
        <v>0</v>
      </c>
    </row>
    <row r="12" spans="1:13">
      <c r="A12" s="294">
        <v>5</v>
      </c>
      <c r="B12" s="288" t="s">
        <v>398</v>
      </c>
      <c r="C12" s="288"/>
      <c r="D12" s="288"/>
      <c r="E12" s="288">
        <v>6</v>
      </c>
      <c r="F12" s="297">
        <f t="shared" si="1"/>
        <v>0</v>
      </c>
      <c r="G12" s="288">
        <v>2</v>
      </c>
      <c r="H12" s="297">
        <f>F12/G12</f>
        <v>0</v>
      </c>
      <c r="I12" s="288">
        <v>10</v>
      </c>
      <c r="J12" s="297">
        <f t="shared" si="2"/>
        <v>0</v>
      </c>
      <c r="K12" s="288">
        <v>3000</v>
      </c>
      <c r="L12" s="288">
        <v>1</v>
      </c>
      <c r="M12" s="297">
        <f t="shared" si="0"/>
        <v>0</v>
      </c>
    </row>
    <row r="13" spans="1:13">
      <c r="A13" s="294">
        <v>6</v>
      </c>
      <c r="B13" s="10"/>
      <c r="C13" s="10"/>
      <c r="D13" s="10"/>
      <c r="E13" s="10"/>
      <c r="F13" s="297">
        <f t="shared" si="1"/>
        <v>0</v>
      </c>
      <c r="G13" s="10">
        <v>0</v>
      </c>
      <c r="H13" s="288"/>
      <c r="I13" s="10"/>
      <c r="J13" s="297">
        <f t="shared" si="2"/>
        <v>0</v>
      </c>
      <c r="K13" s="10"/>
      <c r="L13" s="297"/>
      <c r="M13" s="297">
        <f t="shared" si="0"/>
        <v>0</v>
      </c>
    </row>
    <row r="14" spans="1:13">
      <c r="A14" s="294">
        <v>7</v>
      </c>
      <c r="B14" s="10"/>
      <c r="C14" s="10"/>
      <c r="D14" s="10"/>
      <c r="E14" s="10"/>
      <c r="F14" s="297">
        <f t="shared" si="1"/>
        <v>0</v>
      </c>
      <c r="G14" s="10">
        <v>0</v>
      </c>
      <c r="H14" s="288"/>
      <c r="I14" s="10"/>
      <c r="J14" s="297">
        <f t="shared" si="2"/>
        <v>0</v>
      </c>
      <c r="K14" s="10"/>
      <c r="L14" s="297"/>
      <c r="M14" s="297">
        <f t="shared" si="0"/>
        <v>0</v>
      </c>
    </row>
    <row r="15" spans="1:13">
      <c r="A15" s="294">
        <v>8</v>
      </c>
      <c r="B15" s="10"/>
      <c r="C15" s="10"/>
      <c r="D15" s="10"/>
      <c r="E15" s="10"/>
      <c r="F15" s="297">
        <f t="shared" si="1"/>
        <v>0</v>
      </c>
      <c r="G15" s="10">
        <v>0</v>
      </c>
      <c r="H15" s="288"/>
      <c r="I15" s="10"/>
      <c r="J15" s="297">
        <f t="shared" si="2"/>
        <v>0</v>
      </c>
      <c r="K15" s="10"/>
      <c r="L15" s="297"/>
      <c r="M15" s="297">
        <f t="shared" si="0"/>
        <v>0</v>
      </c>
    </row>
    <row r="16" spans="1:13">
      <c r="A16" s="294">
        <v>9</v>
      </c>
      <c r="B16" s="10"/>
      <c r="C16" s="10"/>
      <c r="D16" s="10"/>
      <c r="E16" s="10"/>
      <c r="F16" s="297">
        <f t="shared" si="1"/>
        <v>0</v>
      </c>
      <c r="G16" s="10">
        <v>0</v>
      </c>
      <c r="H16" s="288"/>
      <c r="I16" s="10"/>
      <c r="J16" s="297">
        <f t="shared" si="2"/>
        <v>0</v>
      </c>
      <c r="K16" s="10"/>
      <c r="L16" s="297"/>
      <c r="M16" s="297">
        <f t="shared" si="0"/>
        <v>0</v>
      </c>
    </row>
    <row r="17" spans="1:16">
      <c r="A17" s="294">
        <v>10</v>
      </c>
      <c r="B17" s="10"/>
      <c r="C17" s="10"/>
      <c r="D17" s="10"/>
      <c r="E17" s="10"/>
      <c r="F17" s="297">
        <f t="shared" si="1"/>
        <v>0</v>
      </c>
      <c r="G17" s="10">
        <v>0</v>
      </c>
      <c r="H17" s="288"/>
      <c r="I17" s="10"/>
      <c r="J17" s="297">
        <f t="shared" si="2"/>
        <v>0</v>
      </c>
      <c r="K17" s="10"/>
      <c r="L17" s="297"/>
      <c r="M17" s="297">
        <f t="shared" si="0"/>
        <v>0</v>
      </c>
    </row>
    <row r="18" spans="1:16">
      <c r="A18" s="15"/>
      <c r="B18" s="15"/>
      <c r="C18" s="298"/>
      <c r="D18" s="298"/>
      <c r="E18" s="298"/>
      <c r="F18" s="298"/>
      <c r="G18" s="298"/>
      <c r="H18" s="298"/>
      <c r="I18" s="298"/>
      <c r="J18" s="298"/>
      <c r="K18" s="298"/>
      <c r="L18" s="298"/>
      <c r="M18" s="296"/>
    </row>
    <row r="19" spans="1:16">
      <c r="A19" s="15"/>
      <c r="B19" s="15"/>
      <c r="C19" s="298"/>
      <c r="D19" s="298"/>
      <c r="E19" s="298"/>
      <c r="F19" s="298"/>
      <c r="G19" s="298"/>
      <c r="H19" s="298"/>
      <c r="I19" s="298"/>
      <c r="J19" s="298"/>
      <c r="K19" s="298"/>
      <c r="L19" s="298"/>
      <c r="M19" s="296"/>
    </row>
    <row r="21" spans="1:16" ht="18.75">
      <c r="A21" s="425" t="s">
        <v>549</v>
      </c>
      <c r="B21" s="425"/>
      <c r="C21" s="425"/>
      <c r="D21" s="425"/>
      <c r="E21" s="425"/>
      <c r="F21" s="425"/>
      <c r="G21" s="425"/>
      <c r="H21" s="425"/>
      <c r="I21" s="425"/>
      <c r="J21" s="425"/>
      <c r="K21" s="425"/>
    </row>
    <row r="23" spans="1:16">
      <c r="A23" s="94"/>
      <c r="B23" s="94"/>
      <c r="C23" s="94"/>
      <c r="D23" s="94"/>
      <c r="E23" s="179">
        <v>1</v>
      </c>
      <c r="F23" s="184">
        <f>(E23*5%)+E23</f>
        <v>1.05</v>
      </c>
      <c r="G23" s="184">
        <f t="shared" ref="G23:K23" si="3">(F23*5%)+F23</f>
        <v>1.1025</v>
      </c>
      <c r="H23" s="184">
        <f t="shared" si="3"/>
        <v>1.1576250000000001</v>
      </c>
      <c r="I23" s="184">
        <f t="shared" si="3"/>
        <v>1.2155062500000002</v>
      </c>
      <c r="J23" s="184">
        <f t="shared" si="3"/>
        <v>1.2762815625000004</v>
      </c>
      <c r="K23" s="184">
        <f t="shared" si="3"/>
        <v>1.3400956406250004</v>
      </c>
    </row>
    <row r="24" spans="1:16">
      <c r="A24" s="148" t="s">
        <v>0</v>
      </c>
      <c r="B24" s="148" t="s">
        <v>97</v>
      </c>
      <c r="C24" s="148" t="s">
        <v>111</v>
      </c>
      <c r="D24" s="148" t="s">
        <v>118</v>
      </c>
      <c r="E24" s="120" t="s">
        <v>2</v>
      </c>
      <c r="F24" s="120" t="s">
        <v>3</v>
      </c>
      <c r="G24" s="120" t="s">
        <v>4</v>
      </c>
      <c r="H24" s="120" t="s">
        <v>5</v>
      </c>
      <c r="I24" s="120" t="s">
        <v>6</v>
      </c>
      <c r="J24" s="120" t="s">
        <v>134</v>
      </c>
      <c r="K24" s="120" t="s">
        <v>133</v>
      </c>
    </row>
    <row r="25" spans="1:16">
      <c r="A25" s="97"/>
      <c r="B25" s="97"/>
      <c r="C25" s="97"/>
      <c r="D25" s="97"/>
      <c r="E25" s="95"/>
      <c r="F25" s="95"/>
      <c r="G25" s="95"/>
      <c r="H25" s="95"/>
      <c r="I25" s="95"/>
      <c r="J25" s="95"/>
      <c r="K25" s="95"/>
    </row>
    <row r="26" spans="1:16">
      <c r="A26" s="97" t="s">
        <v>91</v>
      </c>
      <c r="B26" s="97"/>
      <c r="C26" s="97"/>
      <c r="D26" s="97"/>
      <c r="E26" s="95"/>
      <c r="F26" s="95"/>
      <c r="G26" s="95"/>
      <c r="H26" s="95"/>
      <c r="I26" s="95"/>
      <c r="J26" s="95"/>
      <c r="K26" s="95"/>
      <c r="P26" s="94"/>
    </row>
    <row r="27" spans="1:16">
      <c r="A27" s="196" t="s">
        <v>411</v>
      </c>
      <c r="B27" s="109"/>
      <c r="C27" s="299"/>
      <c r="D27" s="299"/>
      <c r="E27" s="96"/>
      <c r="F27" s="96"/>
      <c r="G27" s="96"/>
      <c r="H27" s="96"/>
      <c r="I27" s="96"/>
      <c r="J27" s="96"/>
      <c r="K27" s="96"/>
      <c r="P27" s="94"/>
    </row>
    <row r="28" spans="1:16">
      <c r="A28" s="109" t="str">
        <f>B8</f>
        <v>Double Plough</v>
      </c>
      <c r="B28" s="109"/>
      <c r="C28" s="299">
        <f>H8</f>
        <v>0</v>
      </c>
      <c r="D28" s="299">
        <f>K8</f>
        <v>3000</v>
      </c>
      <c r="E28" s="96">
        <f>$C$28*$D$28*E23</f>
        <v>0</v>
      </c>
      <c r="F28" s="96">
        <f t="shared" ref="F28:K28" si="4">$C$28*$D$28*F23</f>
        <v>0</v>
      </c>
      <c r="G28" s="96">
        <f t="shared" si="4"/>
        <v>0</v>
      </c>
      <c r="H28" s="96">
        <f t="shared" si="4"/>
        <v>0</v>
      </c>
      <c r="I28" s="96">
        <f t="shared" si="4"/>
        <v>0</v>
      </c>
      <c r="J28" s="96">
        <f t="shared" si="4"/>
        <v>0</v>
      </c>
      <c r="K28" s="96">
        <f t="shared" si="4"/>
        <v>0</v>
      </c>
      <c r="P28" s="94"/>
    </row>
    <row r="29" spans="1:16">
      <c r="A29" s="109" t="str">
        <f>B9</f>
        <v>Cultivator</v>
      </c>
      <c r="B29" s="109"/>
      <c r="C29" s="299">
        <f t="shared" ref="C29:C38" si="5">H9</f>
        <v>0</v>
      </c>
      <c r="D29" s="299">
        <f>K9</f>
        <v>1800</v>
      </c>
      <c r="E29" s="96">
        <f>$C$29*$D$29*E23</f>
        <v>0</v>
      </c>
      <c r="F29" s="96">
        <f t="shared" ref="F29:K29" si="6">$C$29*$D$29*F23</f>
        <v>0</v>
      </c>
      <c r="G29" s="96">
        <f t="shared" si="6"/>
        <v>0</v>
      </c>
      <c r="H29" s="96">
        <f t="shared" si="6"/>
        <v>0</v>
      </c>
      <c r="I29" s="96">
        <f t="shared" si="6"/>
        <v>0</v>
      </c>
      <c r="J29" s="96">
        <f t="shared" si="6"/>
        <v>0</v>
      </c>
      <c r="K29" s="96">
        <f t="shared" si="6"/>
        <v>0</v>
      </c>
      <c r="P29" s="94"/>
    </row>
    <row r="30" spans="1:16">
      <c r="A30" s="109" t="str">
        <f>B10</f>
        <v>Rotavator</v>
      </c>
      <c r="B30" s="109"/>
      <c r="C30" s="299">
        <f t="shared" si="5"/>
        <v>0</v>
      </c>
      <c r="D30" s="299">
        <f>K10</f>
        <v>1800</v>
      </c>
      <c r="E30" s="96">
        <f>$C$30*$D$30*E23</f>
        <v>0</v>
      </c>
      <c r="F30" s="96">
        <f t="shared" ref="F30:K30" si="7">$C$30*$D$30*F23</f>
        <v>0</v>
      </c>
      <c r="G30" s="96">
        <f t="shared" si="7"/>
        <v>0</v>
      </c>
      <c r="H30" s="96">
        <f t="shared" si="7"/>
        <v>0</v>
      </c>
      <c r="I30" s="96">
        <f t="shared" si="7"/>
        <v>0</v>
      </c>
      <c r="J30" s="96">
        <f t="shared" si="7"/>
        <v>0</v>
      </c>
      <c r="K30" s="96">
        <f t="shared" si="7"/>
        <v>0</v>
      </c>
      <c r="P30" s="94"/>
    </row>
    <row r="31" spans="1:16">
      <c r="A31" s="109" t="str">
        <f>B11</f>
        <v>BBF Seed Sowing Machine</v>
      </c>
      <c r="B31" s="109"/>
      <c r="C31" s="299">
        <f t="shared" si="5"/>
        <v>0</v>
      </c>
      <c r="D31" s="299">
        <f>K11</f>
        <v>1200</v>
      </c>
      <c r="E31" s="96">
        <f>$C$31*$D$31*E23</f>
        <v>0</v>
      </c>
      <c r="F31" s="96">
        <f t="shared" ref="F31:K31" si="8">$C$31*$D$31*F23</f>
        <v>0</v>
      </c>
      <c r="G31" s="96">
        <f t="shared" si="8"/>
        <v>0</v>
      </c>
      <c r="H31" s="96">
        <f t="shared" si="8"/>
        <v>0</v>
      </c>
      <c r="I31" s="96">
        <f t="shared" si="8"/>
        <v>0</v>
      </c>
      <c r="J31" s="96">
        <f t="shared" si="8"/>
        <v>0</v>
      </c>
      <c r="K31" s="96">
        <f t="shared" si="8"/>
        <v>0</v>
      </c>
      <c r="P31" s="94"/>
    </row>
    <row r="32" spans="1:16">
      <c r="A32" s="109" t="str">
        <f>B12</f>
        <v>Mobile Threshing</v>
      </c>
      <c r="B32" s="109"/>
      <c r="C32" s="299">
        <f t="shared" si="5"/>
        <v>0</v>
      </c>
      <c r="D32" s="299">
        <f>K12</f>
        <v>3000</v>
      </c>
      <c r="E32" s="96">
        <f>$C$32*$D$32*E23</f>
        <v>0</v>
      </c>
      <c r="F32" s="96">
        <f t="shared" ref="F32:K32" si="9">$C$32*$D$32*F23</f>
        <v>0</v>
      </c>
      <c r="G32" s="96">
        <f t="shared" si="9"/>
        <v>0</v>
      </c>
      <c r="H32" s="96">
        <f t="shared" si="9"/>
        <v>0</v>
      </c>
      <c r="I32" s="96">
        <f t="shared" si="9"/>
        <v>0</v>
      </c>
      <c r="J32" s="96">
        <f t="shared" si="9"/>
        <v>0</v>
      </c>
      <c r="K32" s="96">
        <f t="shared" si="9"/>
        <v>0</v>
      </c>
      <c r="P32" s="94"/>
    </row>
    <row r="33" spans="1:16">
      <c r="A33" s="109"/>
      <c r="B33" s="109"/>
      <c r="C33" s="299">
        <f t="shared" si="5"/>
        <v>0</v>
      </c>
      <c r="D33" s="299">
        <f t="shared" ref="D33:D38" si="10">K13</f>
        <v>0</v>
      </c>
      <c r="E33" s="96">
        <f>$C$33*$D$33*E23</f>
        <v>0</v>
      </c>
      <c r="F33" s="96">
        <f t="shared" ref="F33:K33" si="11">$C$33*$D$33*F23</f>
        <v>0</v>
      </c>
      <c r="G33" s="96">
        <f t="shared" si="11"/>
        <v>0</v>
      </c>
      <c r="H33" s="96">
        <f t="shared" si="11"/>
        <v>0</v>
      </c>
      <c r="I33" s="96">
        <f t="shared" si="11"/>
        <v>0</v>
      </c>
      <c r="J33" s="96">
        <f t="shared" si="11"/>
        <v>0</v>
      </c>
      <c r="K33" s="96">
        <f t="shared" si="11"/>
        <v>0</v>
      </c>
      <c r="P33" s="94"/>
    </row>
    <row r="34" spans="1:16">
      <c r="A34" s="109"/>
      <c r="B34" s="109"/>
      <c r="C34" s="299">
        <f t="shared" si="5"/>
        <v>0</v>
      </c>
      <c r="D34" s="299">
        <f t="shared" si="10"/>
        <v>0</v>
      </c>
      <c r="E34" s="96">
        <f>$C$34*$D$34*E23</f>
        <v>0</v>
      </c>
      <c r="F34" s="96">
        <f t="shared" ref="F34:K34" si="12">$C$34*$D$34*F23</f>
        <v>0</v>
      </c>
      <c r="G34" s="96">
        <f t="shared" si="12"/>
        <v>0</v>
      </c>
      <c r="H34" s="96">
        <f t="shared" si="12"/>
        <v>0</v>
      </c>
      <c r="I34" s="96">
        <f t="shared" si="12"/>
        <v>0</v>
      </c>
      <c r="J34" s="96">
        <f t="shared" si="12"/>
        <v>0</v>
      </c>
      <c r="K34" s="96">
        <f t="shared" si="12"/>
        <v>0</v>
      </c>
      <c r="P34" s="94"/>
    </row>
    <row r="35" spans="1:16">
      <c r="A35" s="109"/>
      <c r="B35" s="109"/>
      <c r="C35" s="299">
        <f t="shared" si="5"/>
        <v>0</v>
      </c>
      <c r="D35" s="299">
        <f t="shared" si="10"/>
        <v>0</v>
      </c>
      <c r="E35" s="96">
        <f>$C$35*$D$35*E23</f>
        <v>0</v>
      </c>
      <c r="F35" s="96">
        <f t="shared" ref="F35:K35" si="13">$C$35*$D$35*F23</f>
        <v>0</v>
      </c>
      <c r="G35" s="96">
        <f t="shared" si="13"/>
        <v>0</v>
      </c>
      <c r="H35" s="96">
        <f t="shared" si="13"/>
        <v>0</v>
      </c>
      <c r="I35" s="96">
        <f t="shared" si="13"/>
        <v>0</v>
      </c>
      <c r="J35" s="96">
        <f t="shared" si="13"/>
        <v>0</v>
      </c>
      <c r="K35" s="96">
        <f t="shared" si="13"/>
        <v>0</v>
      </c>
      <c r="P35" s="94"/>
    </row>
    <row r="36" spans="1:16">
      <c r="A36" s="109"/>
      <c r="B36" s="109"/>
      <c r="C36" s="299">
        <f t="shared" si="5"/>
        <v>0</v>
      </c>
      <c r="D36" s="299">
        <f t="shared" si="10"/>
        <v>0</v>
      </c>
      <c r="E36" s="96">
        <f>$C$36*$D$36*E23</f>
        <v>0</v>
      </c>
      <c r="F36" s="96">
        <f t="shared" ref="F36:K36" si="14">$C$36*$D$36*F23</f>
        <v>0</v>
      </c>
      <c r="G36" s="96">
        <f t="shared" si="14"/>
        <v>0</v>
      </c>
      <c r="H36" s="96">
        <f t="shared" si="14"/>
        <v>0</v>
      </c>
      <c r="I36" s="96">
        <f t="shared" si="14"/>
        <v>0</v>
      </c>
      <c r="J36" s="96">
        <f t="shared" si="14"/>
        <v>0</v>
      </c>
      <c r="K36" s="96">
        <f t="shared" si="14"/>
        <v>0</v>
      </c>
      <c r="P36" s="94"/>
    </row>
    <row r="37" spans="1:16">
      <c r="A37" s="109"/>
      <c r="B37" s="109"/>
      <c r="C37" s="299">
        <f t="shared" si="5"/>
        <v>0</v>
      </c>
      <c r="D37" s="299">
        <f t="shared" si="10"/>
        <v>0</v>
      </c>
      <c r="E37" s="96">
        <f>$C$37*$D$37*E23</f>
        <v>0</v>
      </c>
      <c r="F37" s="96">
        <f t="shared" ref="F37:K37" si="15">$C$37*$D$37*F23</f>
        <v>0</v>
      </c>
      <c r="G37" s="96">
        <f t="shared" si="15"/>
        <v>0</v>
      </c>
      <c r="H37" s="96">
        <f t="shared" si="15"/>
        <v>0</v>
      </c>
      <c r="I37" s="96">
        <f t="shared" si="15"/>
        <v>0</v>
      </c>
      <c r="J37" s="96">
        <f t="shared" si="15"/>
        <v>0</v>
      </c>
      <c r="K37" s="96">
        <f t="shared" si="15"/>
        <v>0</v>
      </c>
      <c r="P37" s="94"/>
    </row>
    <row r="38" spans="1:16">
      <c r="A38" s="97"/>
      <c r="B38" s="97"/>
      <c r="C38" s="299">
        <f t="shared" si="5"/>
        <v>0</v>
      </c>
      <c r="D38" s="299">
        <f t="shared" si="10"/>
        <v>0</v>
      </c>
      <c r="E38" s="96">
        <f>$C$38*$D$38*E23</f>
        <v>0</v>
      </c>
      <c r="F38" s="96">
        <f t="shared" ref="F38:K38" si="16">$C$38*$D$38*F23</f>
        <v>0</v>
      </c>
      <c r="G38" s="96">
        <f t="shared" si="16"/>
        <v>0</v>
      </c>
      <c r="H38" s="96">
        <f t="shared" si="16"/>
        <v>0</v>
      </c>
      <c r="I38" s="96">
        <f t="shared" si="16"/>
        <v>0</v>
      </c>
      <c r="J38" s="96">
        <f t="shared" si="16"/>
        <v>0</v>
      </c>
      <c r="K38" s="96">
        <f t="shared" si="16"/>
        <v>0</v>
      </c>
      <c r="P38" s="94"/>
    </row>
    <row r="39" spans="1:16">
      <c r="A39" s="97" t="s">
        <v>108</v>
      </c>
      <c r="B39" s="97"/>
      <c r="C39" s="101"/>
      <c r="D39" s="101"/>
      <c r="E39" s="96">
        <f>SUM(E28:E38)</f>
        <v>0</v>
      </c>
      <c r="F39" s="96">
        <f t="shared" ref="F39:K39" si="17">SUM(F28:F38)</f>
        <v>0</v>
      </c>
      <c r="G39" s="96">
        <f t="shared" si="17"/>
        <v>0</v>
      </c>
      <c r="H39" s="96">
        <f t="shared" si="17"/>
        <v>0</v>
      </c>
      <c r="I39" s="96">
        <f t="shared" si="17"/>
        <v>0</v>
      </c>
      <c r="J39" s="96">
        <f t="shared" si="17"/>
        <v>0</v>
      </c>
      <c r="K39" s="96">
        <f t="shared" si="17"/>
        <v>0</v>
      </c>
      <c r="P39" s="94"/>
    </row>
    <row r="40" spans="1:16">
      <c r="A40" s="95"/>
      <c r="B40" s="95"/>
      <c r="C40" s="99"/>
      <c r="D40" s="99"/>
      <c r="E40" s="96"/>
      <c r="F40" s="96"/>
      <c r="G40" s="96"/>
      <c r="H40" s="96"/>
      <c r="I40" s="96"/>
      <c r="J40" s="96"/>
      <c r="K40" s="96"/>
      <c r="P40" s="94"/>
    </row>
    <row r="41" spans="1:16">
      <c r="A41" s="97" t="s">
        <v>107</v>
      </c>
      <c r="B41" s="97"/>
      <c r="C41" s="101"/>
      <c r="D41" s="101"/>
      <c r="E41" s="96"/>
      <c r="F41" s="96"/>
      <c r="G41" s="96"/>
      <c r="H41" s="96"/>
      <c r="I41" s="96"/>
      <c r="J41" s="96"/>
      <c r="K41" s="96"/>
      <c r="P41" s="94"/>
    </row>
    <row r="42" spans="1:16">
      <c r="A42" s="97" t="s">
        <v>261</v>
      </c>
      <c r="B42" s="97"/>
      <c r="C42" s="101"/>
      <c r="D42" s="101"/>
      <c r="E42" s="96"/>
      <c r="F42" s="96"/>
      <c r="G42" s="96"/>
      <c r="H42" s="96"/>
      <c r="I42" s="96"/>
      <c r="J42" s="96"/>
      <c r="K42" s="96"/>
    </row>
    <row r="43" spans="1:16">
      <c r="A43" s="95" t="s">
        <v>262</v>
      </c>
      <c r="B43" s="95" t="s">
        <v>408</v>
      </c>
      <c r="C43" s="99">
        <f>SUM(J8:J17)</f>
        <v>0</v>
      </c>
      <c r="D43" s="232">
        <v>100</v>
      </c>
      <c r="E43" s="96">
        <f>$C$43*$D$43*E23</f>
        <v>0</v>
      </c>
      <c r="F43" s="96">
        <f t="shared" ref="F43:K43" si="18">$C$43*$D$43*F23</f>
        <v>0</v>
      </c>
      <c r="G43" s="96">
        <f t="shared" si="18"/>
        <v>0</v>
      </c>
      <c r="H43" s="96">
        <f t="shared" si="18"/>
        <v>0</v>
      </c>
      <c r="I43" s="96">
        <f t="shared" si="18"/>
        <v>0</v>
      </c>
      <c r="J43" s="96">
        <f t="shared" si="18"/>
        <v>0</v>
      </c>
      <c r="K43" s="96">
        <f t="shared" si="18"/>
        <v>0</v>
      </c>
    </row>
    <row r="44" spans="1:16">
      <c r="A44" s="95" t="s">
        <v>263</v>
      </c>
      <c r="B44" s="95" t="s">
        <v>410</v>
      </c>
      <c r="C44" s="99">
        <f>SUM(M8:M17)</f>
        <v>0</v>
      </c>
      <c r="D44" s="232">
        <v>300</v>
      </c>
      <c r="E44" s="96">
        <f>$C$44*$D$44*E23</f>
        <v>0</v>
      </c>
      <c r="F44" s="96">
        <f t="shared" ref="F44:K44" si="19">$C$44*$D$44*F23</f>
        <v>0</v>
      </c>
      <c r="G44" s="96">
        <f t="shared" si="19"/>
        <v>0</v>
      </c>
      <c r="H44" s="96">
        <f t="shared" si="19"/>
        <v>0</v>
      </c>
      <c r="I44" s="96">
        <f t="shared" si="19"/>
        <v>0</v>
      </c>
      <c r="J44" s="96">
        <f t="shared" si="19"/>
        <v>0</v>
      </c>
      <c r="K44" s="96">
        <f t="shared" si="19"/>
        <v>0</v>
      </c>
    </row>
    <row r="45" spans="1:16">
      <c r="A45" s="95"/>
      <c r="B45" s="95"/>
      <c r="C45" s="232"/>
      <c r="D45" s="232"/>
      <c r="E45" s="96"/>
      <c r="F45" s="96"/>
      <c r="G45" s="96"/>
      <c r="H45" s="96"/>
      <c r="I45" s="96"/>
      <c r="J45" s="96"/>
      <c r="K45" s="96"/>
    </row>
    <row r="46" spans="1:16">
      <c r="A46" s="95"/>
      <c r="B46" s="95"/>
      <c r="C46" s="232"/>
      <c r="D46" s="232"/>
      <c r="E46" s="96"/>
      <c r="F46" s="96"/>
      <c r="G46" s="96"/>
      <c r="H46" s="96"/>
      <c r="I46" s="96"/>
      <c r="J46" s="96"/>
      <c r="K46" s="96"/>
    </row>
    <row r="47" spans="1:16">
      <c r="A47" s="95"/>
      <c r="B47" s="95"/>
      <c r="C47" s="232"/>
      <c r="D47" s="232"/>
      <c r="E47" s="96"/>
      <c r="F47" s="96"/>
      <c r="G47" s="96"/>
      <c r="H47" s="96"/>
      <c r="I47" s="96"/>
      <c r="J47" s="96"/>
      <c r="K47" s="96"/>
    </row>
    <row r="48" spans="1:16">
      <c r="A48" s="95"/>
      <c r="B48" s="95"/>
      <c r="C48" s="232"/>
      <c r="D48" s="232"/>
      <c r="E48" s="96"/>
      <c r="F48" s="96"/>
      <c r="G48" s="96"/>
      <c r="H48" s="96"/>
      <c r="I48" s="96"/>
      <c r="J48" s="96"/>
      <c r="K48" s="96"/>
    </row>
    <row r="49" spans="1:12">
      <c r="A49" s="97" t="s">
        <v>277</v>
      </c>
      <c r="B49" s="97"/>
      <c r="C49" s="237"/>
      <c r="D49" s="237"/>
      <c r="E49" s="115">
        <f>SUM(E43:E48)</f>
        <v>0</v>
      </c>
      <c r="F49" s="115">
        <f t="shared" ref="F49:K49" si="20">SUM(F43:F48)</f>
        <v>0</v>
      </c>
      <c r="G49" s="115">
        <f t="shared" si="20"/>
        <v>0</v>
      </c>
      <c r="H49" s="115">
        <f t="shared" si="20"/>
        <v>0</v>
      </c>
      <c r="I49" s="115">
        <f t="shared" si="20"/>
        <v>0</v>
      </c>
      <c r="J49" s="115">
        <f t="shared" si="20"/>
        <v>0</v>
      </c>
      <c r="K49" s="115">
        <f t="shared" si="20"/>
        <v>0</v>
      </c>
    </row>
    <row r="50" spans="1:12">
      <c r="A50" s="97"/>
      <c r="B50" s="97"/>
      <c r="C50" s="237"/>
      <c r="D50" s="237"/>
      <c r="E50" s="115"/>
      <c r="F50" s="115"/>
      <c r="G50" s="115"/>
      <c r="H50" s="115"/>
      <c r="I50" s="115"/>
      <c r="J50" s="115"/>
      <c r="K50" s="115"/>
    </row>
    <row r="51" spans="1:12">
      <c r="A51" s="196" t="s">
        <v>264</v>
      </c>
      <c r="B51" s="196"/>
      <c r="C51" s="258"/>
      <c r="D51" s="258"/>
      <c r="E51" s="96"/>
      <c r="F51" s="96"/>
      <c r="G51" s="96"/>
      <c r="H51" s="96"/>
      <c r="I51" s="96"/>
      <c r="J51" s="96"/>
      <c r="K51" s="96"/>
    </row>
    <row r="52" spans="1:12">
      <c r="A52" s="109" t="s">
        <v>265</v>
      </c>
      <c r="B52" s="95" t="s">
        <v>351</v>
      </c>
      <c r="C52" s="258">
        <v>1</v>
      </c>
      <c r="D52" s="259"/>
      <c r="E52" s="96">
        <f t="shared" ref="E52:K52" si="21">$C$52*$D$52*12*E23</f>
        <v>0</v>
      </c>
      <c r="F52" s="96">
        <f t="shared" si="21"/>
        <v>0</v>
      </c>
      <c r="G52" s="96">
        <f t="shared" si="21"/>
        <v>0</v>
      </c>
      <c r="H52" s="96">
        <f t="shared" si="21"/>
        <v>0</v>
      </c>
      <c r="I52" s="96">
        <f t="shared" si="21"/>
        <v>0</v>
      </c>
      <c r="J52" s="96">
        <f t="shared" si="21"/>
        <v>0</v>
      </c>
      <c r="K52" s="96">
        <f t="shared" si="21"/>
        <v>0</v>
      </c>
    </row>
    <row r="53" spans="1:12">
      <c r="A53" s="109"/>
      <c r="B53" s="109"/>
      <c r="C53" s="258"/>
      <c r="D53" s="259"/>
      <c r="E53" s="96"/>
      <c r="F53" s="96"/>
      <c r="G53" s="96"/>
      <c r="H53" s="96"/>
      <c r="I53" s="96"/>
      <c r="J53" s="96"/>
      <c r="K53" s="96"/>
    </row>
    <row r="54" spans="1:12">
      <c r="A54" s="109"/>
      <c r="B54" s="109"/>
      <c r="C54" s="258"/>
      <c r="D54" s="259"/>
      <c r="E54" s="96"/>
      <c r="F54" s="96"/>
      <c r="G54" s="96"/>
      <c r="H54" s="96"/>
      <c r="I54" s="96"/>
      <c r="J54" s="96"/>
      <c r="K54" s="96"/>
    </row>
    <row r="55" spans="1:12">
      <c r="A55" s="109"/>
      <c r="B55" s="109"/>
      <c r="C55" s="258"/>
      <c r="D55" s="259"/>
      <c r="E55" s="96"/>
      <c r="F55" s="96"/>
      <c r="G55" s="96"/>
      <c r="H55" s="96"/>
      <c r="I55" s="96"/>
      <c r="J55" s="96"/>
      <c r="K55" s="96"/>
    </row>
    <row r="56" spans="1:12">
      <c r="A56" s="97" t="s">
        <v>281</v>
      </c>
      <c r="B56" s="97"/>
      <c r="C56" s="97"/>
      <c r="D56" s="97"/>
      <c r="E56" s="115">
        <f>SUM(E52:E55)</f>
        <v>0</v>
      </c>
      <c r="F56" s="115">
        <f t="shared" ref="F56:K56" si="22">SUM(F52:F55)</f>
        <v>0</v>
      </c>
      <c r="G56" s="115">
        <f t="shared" si="22"/>
        <v>0</v>
      </c>
      <c r="H56" s="115">
        <f t="shared" si="22"/>
        <v>0</v>
      </c>
      <c r="I56" s="115">
        <f t="shared" si="22"/>
        <v>0</v>
      </c>
      <c r="J56" s="115">
        <f t="shared" si="22"/>
        <v>0</v>
      </c>
      <c r="K56" s="115">
        <f t="shared" si="22"/>
        <v>0</v>
      </c>
    </row>
    <row r="57" spans="1:12">
      <c r="A57" s="97" t="s">
        <v>94</v>
      </c>
      <c r="B57" s="97"/>
      <c r="C57" s="97"/>
      <c r="D57" s="97"/>
      <c r="E57" s="115">
        <f>E49+E56</f>
        <v>0</v>
      </c>
      <c r="F57" s="115">
        <f t="shared" ref="F57:K57" si="23">F49+F56</f>
        <v>0</v>
      </c>
      <c r="G57" s="115">
        <f t="shared" si="23"/>
        <v>0</v>
      </c>
      <c r="H57" s="115">
        <f t="shared" si="23"/>
        <v>0</v>
      </c>
      <c r="I57" s="115">
        <f t="shared" si="23"/>
        <v>0</v>
      </c>
      <c r="J57" s="115">
        <f t="shared" si="23"/>
        <v>0</v>
      </c>
      <c r="K57" s="115">
        <f t="shared" si="23"/>
        <v>0</v>
      </c>
    </row>
    <row r="58" spans="1:12">
      <c r="A58" s="95"/>
      <c r="B58" s="95"/>
      <c r="C58" s="95"/>
      <c r="D58" s="95"/>
      <c r="E58" s="96"/>
      <c r="F58" s="96"/>
      <c r="G58" s="96"/>
      <c r="H58" s="96"/>
      <c r="I58" s="96"/>
      <c r="J58" s="96"/>
      <c r="K58" s="96"/>
    </row>
    <row r="59" spans="1:12">
      <c r="A59" s="97" t="s">
        <v>268</v>
      </c>
      <c r="B59" s="97"/>
      <c r="C59" s="97"/>
      <c r="D59" s="97"/>
      <c r="E59" s="115">
        <f t="shared" ref="E59:K59" si="24">E39-E57</f>
        <v>0</v>
      </c>
      <c r="F59" s="115">
        <f t="shared" si="24"/>
        <v>0</v>
      </c>
      <c r="G59" s="115">
        <f t="shared" si="24"/>
        <v>0</v>
      </c>
      <c r="H59" s="115">
        <f t="shared" si="24"/>
        <v>0</v>
      </c>
      <c r="I59" s="115">
        <f t="shared" si="24"/>
        <v>0</v>
      </c>
      <c r="J59" s="115">
        <f t="shared" si="24"/>
        <v>0</v>
      </c>
      <c r="K59" s="115">
        <f t="shared" si="24"/>
        <v>0</v>
      </c>
    </row>
    <row r="60" spans="1:12">
      <c r="A60" s="275"/>
      <c r="B60" s="275"/>
      <c r="C60" s="275"/>
      <c r="D60" s="275"/>
      <c r="E60" s="276"/>
      <c r="F60" s="276"/>
      <c r="G60" s="276"/>
      <c r="H60" s="276"/>
      <c r="I60" s="276"/>
      <c r="J60" s="276"/>
      <c r="K60" s="276"/>
    </row>
    <row r="61" spans="1:12">
      <c r="A61" s="94"/>
      <c r="B61" s="94"/>
      <c r="C61" s="275"/>
      <c r="D61" s="275"/>
      <c r="E61" s="276"/>
      <c r="F61" s="276"/>
      <c r="G61" s="276"/>
      <c r="H61" s="276"/>
      <c r="I61" s="276"/>
      <c r="J61" s="276"/>
      <c r="K61" s="276"/>
    </row>
    <row r="62" spans="1:12">
      <c r="A62" s="402" t="s">
        <v>383</v>
      </c>
      <c r="B62" s="402"/>
      <c r="C62" s="402"/>
      <c r="D62" s="402"/>
      <c r="E62" s="402"/>
      <c r="F62" s="402"/>
      <c r="G62" s="402"/>
      <c r="H62" s="402"/>
      <c r="I62" s="402"/>
      <c r="J62" s="402"/>
      <c r="K62" s="402"/>
      <c r="L62" s="402"/>
    </row>
    <row r="65" spans="1:2">
      <c r="A65" t="s">
        <v>492</v>
      </c>
    </row>
    <row r="66" spans="1:2">
      <c r="A66">
        <v>1</v>
      </c>
      <c r="B66" t="s">
        <v>505</v>
      </c>
    </row>
    <row r="67" spans="1:2">
      <c r="A67">
        <v>2</v>
      </c>
      <c r="B67" t="s">
        <v>506</v>
      </c>
    </row>
    <row r="68" spans="1:2">
      <c r="A68">
        <v>3</v>
      </c>
      <c r="B68" s="94" t="s">
        <v>557</v>
      </c>
    </row>
  </sheetData>
  <mergeCells count="4">
    <mergeCell ref="A21:K21"/>
    <mergeCell ref="A3:L3"/>
    <mergeCell ref="A62:L62"/>
    <mergeCell ref="A4:L4"/>
  </mergeCells>
  <pageMargins left="0.7" right="0.7" top="0.75" bottom="0.75" header="0.3" footer="0.3"/>
  <pageSetup paperSize="9" scale="4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55"/>
  <sheetViews>
    <sheetView view="pageBreakPreview" topLeftCell="A112" zoomScaleSheetLayoutView="100" workbookViewId="0">
      <selection activeCell="C38" sqref="C38"/>
    </sheetView>
  </sheetViews>
  <sheetFormatPr defaultRowHeight="15"/>
  <cols>
    <col min="1" max="1" width="41.140625" bestFit="1" customWidth="1"/>
    <col min="2" max="2" width="4.42578125" bestFit="1" customWidth="1"/>
    <col min="3" max="3" width="10.5703125" bestFit="1"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25" t="s">
        <v>550</v>
      </c>
      <c r="B2" s="425"/>
      <c r="C2" s="425"/>
      <c r="D2" s="425"/>
      <c r="E2" s="425"/>
      <c r="F2" s="425"/>
      <c r="G2" s="425"/>
      <c r="H2" s="425"/>
      <c r="I2" s="425"/>
    </row>
    <row r="4" spans="1:9">
      <c r="A4" s="94"/>
      <c r="B4" s="94"/>
      <c r="C4" s="94"/>
      <c r="D4" s="94"/>
      <c r="E4" s="94"/>
      <c r="F4" s="94"/>
      <c r="G4" s="94"/>
      <c r="H4" s="94"/>
      <c r="I4" s="94"/>
    </row>
    <row r="5" spans="1:9">
      <c r="A5" s="94"/>
      <c r="B5" s="94"/>
      <c r="C5" s="94"/>
      <c r="D5" s="94"/>
      <c r="E5" s="94"/>
      <c r="F5" s="94"/>
      <c r="G5" s="94"/>
      <c r="H5" s="94"/>
      <c r="I5" s="94"/>
    </row>
    <row r="6" spans="1:9">
      <c r="A6" s="148" t="s">
        <v>92</v>
      </c>
      <c r="B6" s="148"/>
      <c r="C6" s="120" t="s">
        <v>2</v>
      </c>
      <c r="D6" s="120" t="s">
        <v>3</v>
      </c>
      <c r="E6" s="120" t="s">
        <v>4</v>
      </c>
      <c r="F6" s="120" t="s">
        <v>5</v>
      </c>
      <c r="G6" s="120" t="s">
        <v>6</v>
      </c>
      <c r="H6" s="120" t="s">
        <v>134</v>
      </c>
      <c r="I6" s="120" t="s">
        <v>133</v>
      </c>
    </row>
    <row r="7" spans="1:9">
      <c r="A7" s="101" t="s">
        <v>508</v>
      </c>
      <c r="B7" s="99"/>
      <c r="C7" s="99"/>
      <c r="D7" s="99"/>
      <c r="E7" s="99"/>
      <c r="F7" s="99"/>
      <c r="G7" s="99"/>
      <c r="H7" s="99"/>
      <c r="I7" s="99"/>
    </row>
    <row r="8" spans="1:9">
      <c r="A8" s="101" t="s">
        <v>143</v>
      </c>
      <c r="B8" s="204"/>
      <c r="C8" s="257"/>
      <c r="D8" s="257"/>
      <c r="E8" s="257"/>
      <c r="F8" s="257"/>
      <c r="G8" s="257"/>
      <c r="H8" s="257"/>
      <c r="I8" s="257"/>
    </row>
    <row r="9" spans="1:9">
      <c r="A9" s="99" t="str">
        <f>'10.Grain Production details'!A92</f>
        <v>Soybean</v>
      </c>
      <c r="B9" s="204"/>
      <c r="C9" s="257">
        <f>'10.Grain Production details'!B92</f>
        <v>0</v>
      </c>
      <c r="D9" s="257">
        <f>'10.Grain Production details'!C92</f>
        <v>0</v>
      </c>
      <c r="E9" s="257">
        <f>'10.Grain Production details'!D92</f>
        <v>0</v>
      </c>
      <c r="F9" s="257">
        <f>'10.Grain Production details'!E92</f>
        <v>0</v>
      </c>
      <c r="G9" s="257">
        <f>'10.Grain Production details'!F92</f>
        <v>0</v>
      </c>
      <c r="H9" s="257">
        <f>'10.Grain Production details'!G92</f>
        <v>0</v>
      </c>
      <c r="I9" s="257">
        <f>'10.Grain Production details'!H92</f>
        <v>0</v>
      </c>
    </row>
    <row r="10" spans="1:9">
      <c r="A10" s="99" t="str">
        <f>'10.Grain Production details'!A93</f>
        <v>Red Gram/Tur</v>
      </c>
      <c r="B10" s="204"/>
      <c r="C10" s="257">
        <f>'10.Grain Production details'!B93</f>
        <v>0</v>
      </c>
      <c r="D10" s="257">
        <f>'10.Grain Production details'!C93</f>
        <v>0</v>
      </c>
      <c r="E10" s="257">
        <f>'10.Grain Production details'!D93</f>
        <v>0</v>
      </c>
      <c r="F10" s="257">
        <f>'10.Grain Production details'!E93</f>
        <v>0</v>
      </c>
      <c r="G10" s="257">
        <f>'10.Grain Production details'!F93</f>
        <v>0</v>
      </c>
      <c r="H10" s="257">
        <f>'10.Grain Production details'!G93</f>
        <v>0</v>
      </c>
      <c r="I10" s="257">
        <f>'10.Grain Production details'!H93</f>
        <v>0</v>
      </c>
    </row>
    <row r="11" spans="1:9">
      <c r="A11" s="99" t="str">
        <f>'10.Grain Production details'!A94</f>
        <v>Paddy/Rice</v>
      </c>
      <c r="B11" s="204"/>
      <c r="C11" s="257">
        <f>'10.Grain Production details'!B94</f>
        <v>0</v>
      </c>
      <c r="D11" s="257">
        <f>'10.Grain Production details'!C94</f>
        <v>0</v>
      </c>
      <c r="E11" s="257">
        <f>'10.Grain Production details'!D94</f>
        <v>0</v>
      </c>
      <c r="F11" s="257">
        <f>'10.Grain Production details'!E94</f>
        <v>0</v>
      </c>
      <c r="G11" s="257">
        <f>'10.Grain Production details'!F94</f>
        <v>0</v>
      </c>
      <c r="H11" s="257">
        <f>'10.Grain Production details'!G94</f>
        <v>0</v>
      </c>
      <c r="I11" s="257">
        <f>'10.Grain Production details'!H94</f>
        <v>0</v>
      </c>
    </row>
    <row r="12" spans="1:9">
      <c r="A12" s="99" t="str">
        <f>'10.Grain Production details'!A95</f>
        <v>Green Gram/ Moong</v>
      </c>
      <c r="B12" s="204"/>
      <c r="C12" s="257">
        <f>'10.Grain Production details'!B95</f>
        <v>0</v>
      </c>
      <c r="D12" s="257">
        <f>'10.Grain Production details'!C95</f>
        <v>0</v>
      </c>
      <c r="E12" s="257">
        <f>'10.Grain Production details'!D95</f>
        <v>0</v>
      </c>
      <c r="F12" s="257">
        <f>'10.Grain Production details'!E95</f>
        <v>0</v>
      </c>
      <c r="G12" s="257">
        <f>'10.Grain Production details'!F95</f>
        <v>0</v>
      </c>
      <c r="H12" s="257">
        <f>'10.Grain Production details'!G95</f>
        <v>0</v>
      </c>
      <c r="I12" s="257">
        <f>'10.Grain Production details'!H95</f>
        <v>0</v>
      </c>
    </row>
    <row r="13" spans="1:9">
      <c r="A13" s="99" t="str">
        <f>'10.Grain Production details'!A96</f>
        <v>Maize</v>
      </c>
      <c r="B13" s="204"/>
      <c r="C13" s="257">
        <f>'10.Grain Production details'!B96</f>
        <v>0</v>
      </c>
      <c r="D13" s="257">
        <f>'10.Grain Production details'!C96</f>
        <v>0</v>
      </c>
      <c r="E13" s="257">
        <f>'10.Grain Production details'!D96</f>
        <v>0</v>
      </c>
      <c r="F13" s="257">
        <f>'10.Grain Production details'!E96</f>
        <v>0</v>
      </c>
      <c r="G13" s="257">
        <f>'10.Grain Production details'!F96</f>
        <v>0</v>
      </c>
      <c r="H13" s="257">
        <f>'10.Grain Production details'!G96</f>
        <v>0</v>
      </c>
      <c r="I13" s="257">
        <f>'10.Grain Production details'!H96</f>
        <v>0</v>
      </c>
    </row>
    <row r="14" spans="1:9">
      <c r="A14" s="99" t="str">
        <f>'10.Grain Production details'!A97</f>
        <v>Black Gram/Udid</v>
      </c>
      <c r="B14" s="204"/>
      <c r="C14" s="257">
        <f>'10.Grain Production details'!B97</f>
        <v>0</v>
      </c>
      <c r="D14" s="257">
        <f>'10.Grain Production details'!C97</f>
        <v>0</v>
      </c>
      <c r="E14" s="257">
        <f>'10.Grain Production details'!D97</f>
        <v>0</v>
      </c>
      <c r="F14" s="257">
        <f>'10.Grain Production details'!E97</f>
        <v>0</v>
      </c>
      <c r="G14" s="257">
        <f>'10.Grain Production details'!F97</f>
        <v>0</v>
      </c>
      <c r="H14" s="257">
        <f>'10.Grain Production details'!G97</f>
        <v>0</v>
      </c>
      <c r="I14" s="257">
        <f>'10.Grain Production details'!H97</f>
        <v>0</v>
      </c>
    </row>
    <row r="15" spans="1:9">
      <c r="A15" s="99" t="str">
        <f>'10.Grain Production details'!A98</f>
        <v>Bajra</v>
      </c>
      <c r="B15" s="204"/>
      <c r="C15" s="257">
        <f>'10.Grain Production details'!B98</f>
        <v>0</v>
      </c>
      <c r="D15" s="257">
        <f>'10.Grain Production details'!C98</f>
        <v>0</v>
      </c>
      <c r="E15" s="257">
        <f>'10.Grain Production details'!D98</f>
        <v>0</v>
      </c>
      <c r="F15" s="257">
        <f>'10.Grain Production details'!E98</f>
        <v>0</v>
      </c>
      <c r="G15" s="257">
        <f>'10.Grain Production details'!F98</f>
        <v>0</v>
      </c>
      <c r="H15" s="257">
        <f>'10.Grain Production details'!G98</f>
        <v>0</v>
      </c>
      <c r="I15" s="257">
        <f>'10.Grain Production details'!H98</f>
        <v>0</v>
      </c>
    </row>
    <row r="16" spans="1:9">
      <c r="A16" s="99" t="str">
        <f>'10.Grain Production details'!A99</f>
        <v>Jawar</v>
      </c>
      <c r="B16" s="204"/>
      <c r="C16" s="257">
        <f>'10.Grain Production details'!B99</f>
        <v>0</v>
      </c>
      <c r="D16" s="257">
        <f>'10.Grain Production details'!C99</f>
        <v>0</v>
      </c>
      <c r="E16" s="257">
        <f>'10.Grain Production details'!D99</f>
        <v>0</v>
      </c>
      <c r="F16" s="257">
        <f>'10.Grain Production details'!E99</f>
        <v>0</v>
      </c>
      <c r="G16" s="257">
        <f>'10.Grain Production details'!F99</f>
        <v>0</v>
      </c>
      <c r="H16" s="257">
        <f>'10.Grain Production details'!G99</f>
        <v>0</v>
      </c>
      <c r="I16" s="257">
        <f>'10.Grain Production details'!H99</f>
        <v>0</v>
      </c>
    </row>
    <row r="17" spans="1:9">
      <c r="A17" s="101" t="s">
        <v>147</v>
      </c>
      <c r="B17" s="204"/>
      <c r="C17" s="257"/>
      <c r="D17" s="257"/>
      <c r="E17" s="257"/>
      <c r="F17" s="257"/>
      <c r="G17" s="257"/>
      <c r="H17" s="257"/>
      <c r="I17" s="257"/>
    </row>
    <row r="18" spans="1:9">
      <c r="A18" s="99" t="str">
        <f>'10.Grain Production details'!A101</f>
        <v>Wheat</v>
      </c>
      <c r="B18" s="204"/>
      <c r="C18" s="257">
        <f>'10.Grain Production details'!B101</f>
        <v>0</v>
      </c>
      <c r="D18" s="257">
        <f>'10.Grain Production details'!C101</f>
        <v>0</v>
      </c>
      <c r="E18" s="257">
        <f>'10.Grain Production details'!D101</f>
        <v>0</v>
      </c>
      <c r="F18" s="257">
        <f>'10.Grain Production details'!E101</f>
        <v>0</v>
      </c>
      <c r="G18" s="257">
        <f>'10.Grain Production details'!F101</f>
        <v>0</v>
      </c>
      <c r="H18" s="257">
        <f>'10.Grain Production details'!G101</f>
        <v>0</v>
      </c>
      <c r="I18" s="257">
        <f>'10.Grain Production details'!H101</f>
        <v>0</v>
      </c>
    </row>
    <row r="19" spans="1:9">
      <c r="A19" s="99" t="str">
        <f>'10.Grain Production details'!A102</f>
        <v>Bengal Gram/Channa</v>
      </c>
      <c r="B19" s="204"/>
      <c r="C19" s="257">
        <f>'10.Grain Production details'!B102</f>
        <v>0</v>
      </c>
      <c r="D19" s="257">
        <f>'10.Grain Production details'!C102</f>
        <v>0</v>
      </c>
      <c r="E19" s="257">
        <f>'10.Grain Production details'!D102</f>
        <v>0</v>
      </c>
      <c r="F19" s="257">
        <f>'10.Grain Production details'!E102</f>
        <v>0</v>
      </c>
      <c r="G19" s="257">
        <f>'10.Grain Production details'!F102</f>
        <v>0</v>
      </c>
      <c r="H19" s="257">
        <f>'10.Grain Production details'!G102</f>
        <v>0</v>
      </c>
      <c r="I19" s="257">
        <f>'10.Grain Production details'!H102</f>
        <v>0</v>
      </c>
    </row>
    <row r="20" spans="1:9">
      <c r="A20" s="99" t="str">
        <f>'10.Grain Production details'!A103</f>
        <v>Jawar</v>
      </c>
      <c r="B20" s="204"/>
      <c r="C20" s="257">
        <f>'10.Grain Production details'!B103</f>
        <v>0</v>
      </c>
      <c r="D20" s="257">
        <f>'10.Grain Production details'!C103</f>
        <v>0</v>
      </c>
      <c r="E20" s="257">
        <f>'10.Grain Production details'!D103</f>
        <v>0</v>
      </c>
      <c r="F20" s="257">
        <f>'10.Grain Production details'!E103</f>
        <v>0</v>
      </c>
      <c r="G20" s="257">
        <f>'10.Grain Production details'!F103</f>
        <v>0</v>
      </c>
      <c r="H20" s="257">
        <f>'10.Grain Production details'!G103</f>
        <v>0</v>
      </c>
      <c r="I20" s="257">
        <f>'10.Grain Production details'!H103</f>
        <v>0</v>
      </c>
    </row>
    <row r="21" spans="1:9">
      <c r="A21" s="99" t="str">
        <f>'10.Grain Production details'!A104</f>
        <v>Maize</v>
      </c>
      <c r="B21" s="204"/>
      <c r="C21" s="257">
        <f>'10.Grain Production details'!B104</f>
        <v>0</v>
      </c>
      <c r="D21" s="257">
        <f>'10.Grain Production details'!C104</f>
        <v>0</v>
      </c>
      <c r="E21" s="257">
        <f>'10.Grain Production details'!D104</f>
        <v>0</v>
      </c>
      <c r="F21" s="257">
        <f>'10.Grain Production details'!E104</f>
        <v>0</v>
      </c>
      <c r="G21" s="257">
        <f>'10.Grain Production details'!F104</f>
        <v>0</v>
      </c>
      <c r="H21" s="257">
        <f>'10.Grain Production details'!G104</f>
        <v>0</v>
      </c>
      <c r="I21" s="257">
        <f>'10.Grain Production details'!H104</f>
        <v>0</v>
      </c>
    </row>
    <row r="22" spans="1:9">
      <c r="A22" s="99" t="str">
        <f>'10.Grain Production details'!A105</f>
        <v>Safflower</v>
      </c>
      <c r="B22" s="204"/>
      <c r="C22" s="257">
        <f>'10.Grain Production details'!B105</f>
        <v>0</v>
      </c>
      <c r="D22" s="257">
        <f>'10.Grain Production details'!C105</f>
        <v>0</v>
      </c>
      <c r="E22" s="257">
        <f>'10.Grain Production details'!D105</f>
        <v>0</v>
      </c>
      <c r="F22" s="257">
        <f>'10.Grain Production details'!E105</f>
        <v>0</v>
      </c>
      <c r="G22" s="257">
        <f>'10.Grain Production details'!F105</f>
        <v>0</v>
      </c>
      <c r="H22" s="257">
        <f>'10.Grain Production details'!G105</f>
        <v>0</v>
      </c>
      <c r="I22" s="257">
        <f>'10.Grain Production details'!H105</f>
        <v>0</v>
      </c>
    </row>
    <row r="23" spans="1:9">
      <c r="A23" s="99">
        <f>'10.Grain Production details'!A106</f>
        <v>0</v>
      </c>
      <c r="B23" s="204"/>
      <c r="C23" s="257">
        <f>'10.Grain Production details'!B106</f>
        <v>0</v>
      </c>
      <c r="D23" s="257">
        <f>'10.Grain Production details'!C106</f>
        <v>0</v>
      </c>
      <c r="E23" s="257">
        <f>'10.Grain Production details'!D106</f>
        <v>0</v>
      </c>
      <c r="F23" s="257">
        <f>'10.Grain Production details'!E106</f>
        <v>0</v>
      </c>
      <c r="G23" s="257">
        <f>'10.Grain Production details'!F106</f>
        <v>0</v>
      </c>
      <c r="H23" s="257">
        <f>'10.Grain Production details'!G106</f>
        <v>0</v>
      </c>
      <c r="I23" s="257">
        <f>'10.Grain Production details'!H106</f>
        <v>0</v>
      </c>
    </row>
    <row r="24" spans="1:9">
      <c r="A24" s="99">
        <f>'10.Grain Production details'!A107</f>
        <v>0</v>
      </c>
      <c r="B24" s="204"/>
      <c r="C24" s="257">
        <f>'10.Grain Production details'!B107</f>
        <v>0</v>
      </c>
      <c r="D24" s="257">
        <f>'10.Grain Production details'!C107</f>
        <v>0</v>
      </c>
      <c r="E24" s="257">
        <f>'10.Grain Production details'!D107</f>
        <v>0</v>
      </c>
      <c r="F24" s="257">
        <f>'10.Grain Production details'!E107</f>
        <v>0</v>
      </c>
      <c r="G24" s="257">
        <f>'10.Grain Production details'!F107</f>
        <v>0</v>
      </c>
      <c r="H24" s="257">
        <f>'10.Grain Production details'!G107</f>
        <v>0</v>
      </c>
      <c r="I24" s="257">
        <f>'10.Grain Production details'!H107</f>
        <v>0</v>
      </c>
    </row>
    <row r="25" spans="1:9">
      <c r="A25" s="99">
        <f>'10.Grain Production details'!A108</f>
        <v>0</v>
      </c>
      <c r="B25" s="204"/>
      <c r="C25" s="257">
        <f>'10.Grain Production details'!B108</f>
        <v>0</v>
      </c>
      <c r="D25" s="257">
        <f>'10.Grain Production details'!C108</f>
        <v>0</v>
      </c>
      <c r="E25" s="257">
        <f>'10.Grain Production details'!D108</f>
        <v>0</v>
      </c>
      <c r="F25" s="257">
        <f>'10.Grain Production details'!E108</f>
        <v>0</v>
      </c>
      <c r="G25" s="257">
        <f>'10.Grain Production details'!F108</f>
        <v>0</v>
      </c>
      <c r="H25" s="257">
        <f>'10.Grain Production details'!G108</f>
        <v>0</v>
      </c>
      <c r="I25" s="257">
        <f>'10.Grain Production details'!H108</f>
        <v>0</v>
      </c>
    </row>
    <row r="26" spans="1:9">
      <c r="A26" s="101" t="str">
        <f>'10.Grain Production details'!A33</f>
        <v>Summer</v>
      </c>
      <c r="B26" s="204"/>
      <c r="C26" s="257"/>
      <c r="D26" s="257"/>
      <c r="E26" s="257"/>
      <c r="F26" s="257"/>
      <c r="G26" s="257"/>
      <c r="H26" s="257"/>
      <c r="I26" s="257"/>
    </row>
    <row r="27" spans="1:9">
      <c r="A27" s="99" t="str">
        <f>'10.Grain Production details'!A109</f>
        <v>Groundnut</v>
      </c>
      <c r="B27" s="204"/>
      <c r="C27" s="257">
        <f>'10.Grain Production details'!B110</f>
        <v>0</v>
      </c>
      <c r="D27" s="257">
        <f>'10.Grain Production details'!C110</f>
        <v>0</v>
      </c>
      <c r="E27" s="257">
        <f>'10.Grain Production details'!D110</f>
        <v>0</v>
      </c>
      <c r="F27" s="257">
        <f>'10.Grain Production details'!E110</f>
        <v>0</v>
      </c>
      <c r="G27" s="257">
        <f>'10.Grain Production details'!F110</f>
        <v>0</v>
      </c>
      <c r="H27" s="257">
        <f>'10.Grain Production details'!G110</f>
        <v>0</v>
      </c>
      <c r="I27" s="257">
        <f>'10.Grain Production details'!H110</f>
        <v>0</v>
      </c>
    </row>
    <row r="28" spans="1:9">
      <c r="A28" s="99">
        <f>'10.Grain Production details'!A110</f>
        <v>0</v>
      </c>
      <c r="B28" s="204"/>
      <c r="C28" s="257">
        <f>'10.Grain Production details'!B111</f>
        <v>0</v>
      </c>
      <c r="D28" s="257">
        <f>'10.Grain Production details'!C111</f>
        <v>0</v>
      </c>
      <c r="E28" s="257">
        <f>'10.Grain Production details'!D111</f>
        <v>0</v>
      </c>
      <c r="F28" s="257">
        <f>'10.Grain Production details'!E111</f>
        <v>0</v>
      </c>
      <c r="G28" s="257">
        <f>'10.Grain Production details'!F111</f>
        <v>0</v>
      </c>
      <c r="H28" s="257">
        <f>'10.Grain Production details'!G111</f>
        <v>0</v>
      </c>
      <c r="I28" s="257">
        <f>'10.Grain Production details'!H111</f>
        <v>0</v>
      </c>
    </row>
    <row r="29" spans="1:9">
      <c r="A29" s="99">
        <f>'10.Grain Production details'!A111</f>
        <v>0</v>
      </c>
      <c r="B29" s="204"/>
      <c r="C29" s="257">
        <f>'10.Grain Production details'!B112</f>
        <v>0</v>
      </c>
      <c r="D29" s="257">
        <f>'10.Grain Production details'!C112</f>
        <v>0</v>
      </c>
      <c r="E29" s="257">
        <f>'10.Grain Production details'!D112</f>
        <v>0</v>
      </c>
      <c r="F29" s="257">
        <f>'10.Grain Production details'!E112</f>
        <v>0</v>
      </c>
      <c r="G29" s="257">
        <f>'10.Grain Production details'!F112</f>
        <v>0</v>
      </c>
      <c r="H29" s="257">
        <f>'10.Grain Production details'!G112</f>
        <v>0</v>
      </c>
      <c r="I29" s="257">
        <f>'10.Grain Production details'!H112</f>
        <v>0</v>
      </c>
    </row>
    <row r="30" spans="1:9">
      <c r="A30" s="99">
        <f>'10.Grain Production details'!A112</f>
        <v>0</v>
      </c>
      <c r="B30" s="204"/>
      <c r="C30" s="257">
        <f>'10.Grain Production details'!B113</f>
        <v>0</v>
      </c>
      <c r="D30" s="257">
        <f>'10.Grain Production details'!C113</f>
        <v>0</v>
      </c>
      <c r="E30" s="257">
        <f>'10.Grain Production details'!D113</f>
        <v>0</v>
      </c>
      <c r="F30" s="257">
        <f>'10.Grain Production details'!E113</f>
        <v>0</v>
      </c>
      <c r="G30" s="257">
        <f>'10.Grain Production details'!F113</f>
        <v>0</v>
      </c>
      <c r="H30" s="257">
        <f>'10.Grain Production details'!G113</f>
        <v>0</v>
      </c>
      <c r="I30" s="257">
        <f>'10.Grain Production details'!H113</f>
        <v>0</v>
      </c>
    </row>
    <row r="31" spans="1:9">
      <c r="A31" s="99">
        <f>'10.Grain Production details'!A113</f>
        <v>0</v>
      </c>
      <c r="B31" s="204"/>
      <c r="C31" s="257">
        <f>'10.Grain Production details'!C114</f>
        <v>0</v>
      </c>
      <c r="D31" s="257">
        <f>'10.Grain Production details'!D114</f>
        <v>0</v>
      </c>
      <c r="E31" s="257">
        <f>'10.Grain Production details'!E114</f>
        <v>0</v>
      </c>
      <c r="F31" s="257">
        <f>'10.Grain Production details'!F114</f>
        <v>0</v>
      </c>
      <c r="G31" s="257">
        <f>'10.Grain Production details'!G114</f>
        <v>0</v>
      </c>
      <c r="H31" s="257">
        <f>'10.Grain Production details'!H114</f>
        <v>0</v>
      </c>
      <c r="I31" s="257">
        <f>'10.Grain Production details'!I114</f>
        <v>0</v>
      </c>
    </row>
    <row r="32" spans="1:9">
      <c r="A32" s="101" t="str">
        <f>'11.F&amp;V Crop Production details'!A1:H1</f>
        <v>Fruit  &amp; Vegetables Crop Production Details</v>
      </c>
      <c r="B32" s="204"/>
      <c r="C32" s="257"/>
      <c r="D32" s="257"/>
      <c r="E32" s="257"/>
      <c r="F32" s="257"/>
      <c r="G32" s="257"/>
      <c r="H32" s="257"/>
      <c r="I32" s="257"/>
    </row>
    <row r="33" spans="1:9">
      <c r="A33" s="99">
        <f>'11.F&amp;V Crop Production details'!A89</f>
        <v>0</v>
      </c>
      <c r="B33" s="204"/>
      <c r="C33" s="257">
        <f>'11.F&amp;V Crop Production details'!B89</f>
        <v>0</v>
      </c>
      <c r="D33" s="257">
        <f>'11.F&amp;V Crop Production details'!C89</f>
        <v>0</v>
      </c>
      <c r="E33" s="257">
        <f>'11.F&amp;V Crop Production details'!D89</f>
        <v>0</v>
      </c>
      <c r="F33" s="257">
        <f>'11.F&amp;V Crop Production details'!E89</f>
        <v>0</v>
      </c>
      <c r="G33" s="257">
        <f>'11.F&amp;V Crop Production details'!F89</f>
        <v>0</v>
      </c>
      <c r="H33" s="257">
        <f>'11.F&amp;V Crop Production details'!G89</f>
        <v>0</v>
      </c>
      <c r="I33" s="257">
        <f>'11.F&amp;V Crop Production details'!H89</f>
        <v>0</v>
      </c>
    </row>
    <row r="34" spans="1:9">
      <c r="A34" s="99">
        <f>'11.F&amp;V Crop Production details'!A90</f>
        <v>0</v>
      </c>
      <c r="B34" s="204"/>
      <c r="C34" s="257">
        <f>'11.F&amp;V Crop Production details'!B90</f>
        <v>0</v>
      </c>
      <c r="D34" s="257">
        <f>'11.F&amp;V Crop Production details'!C90</f>
        <v>0</v>
      </c>
      <c r="E34" s="257">
        <f>'11.F&amp;V Crop Production details'!D90</f>
        <v>0</v>
      </c>
      <c r="F34" s="257">
        <f>'11.F&amp;V Crop Production details'!E90</f>
        <v>0</v>
      </c>
      <c r="G34" s="257">
        <f>'11.F&amp;V Crop Production details'!F90</f>
        <v>0</v>
      </c>
      <c r="H34" s="257">
        <f>'11.F&amp;V Crop Production details'!G90</f>
        <v>0</v>
      </c>
      <c r="I34" s="257">
        <f>'11.F&amp;V Crop Production details'!H90</f>
        <v>0</v>
      </c>
    </row>
    <row r="35" spans="1:9">
      <c r="A35" s="99">
        <f>'11.F&amp;V Crop Production details'!A91</f>
        <v>0</v>
      </c>
      <c r="B35" s="204"/>
      <c r="C35" s="257">
        <f>'11.F&amp;V Crop Production details'!B91</f>
        <v>0</v>
      </c>
      <c r="D35" s="257">
        <f>'11.F&amp;V Crop Production details'!C91</f>
        <v>0</v>
      </c>
      <c r="E35" s="257">
        <f>'11.F&amp;V Crop Production details'!D91</f>
        <v>0</v>
      </c>
      <c r="F35" s="257">
        <f>'11.F&amp;V Crop Production details'!E91</f>
        <v>0</v>
      </c>
      <c r="G35" s="257">
        <f>'11.F&amp;V Crop Production details'!F91</f>
        <v>0</v>
      </c>
      <c r="H35" s="257">
        <f>'11.F&amp;V Crop Production details'!G91</f>
        <v>0</v>
      </c>
      <c r="I35" s="257">
        <f>'11.F&amp;V Crop Production details'!H91</f>
        <v>0</v>
      </c>
    </row>
    <row r="36" spans="1:9">
      <c r="A36" s="99">
        <f>'11.F&amp;V Crop Production details'!A92</f>
        <v>0</v>
      </c>
      <c r="B36" s="204"/>
      <c r="C36" s="257">
        <f>'11.F&amp;V Crop Production details'!B92</f>
        <v>0</v>
      </c>
      <c r="D36" s="257">
        <f>'11.F&amp;V Crop Production details'!C92</f>
        <v>0</v>
      </c>
      <c r="E36" s="257">
        <f>'11.F&amp;V Crop Production details'!D92</f>
        <v>0</v>
      </c>
      <c r="F36" s="257">
        <f>'11.F&amp;V Crop Production details'!E92</f>
        <v>0</v>
      </c>
      <c r="G36" s="257">
        <f>'11.F&amp;V Crop Production details'!F92</f>
        <v>0</v>
      </c>
      <c r="H36" s="257">
        <f>'11.F&amp;V Crop Production details'!G92</f>
        <v>0</v>
      </c>
      <c r="I36" s="257">
        <f>'11.F&amp;V Crop Production details'!H92</f>
        <v>0</v>
      </c>
    </row>
    <row r="37" spans="1:9">
      <c r="A37" s="99">
        <f>'11.F&amp;V Crop Production details'!A93</f>
        <v>0</v>
      </c>
      <c r="B37" s="204"/>
      <c r="C37" s="257">
        <f>'11.F&amp;V Crop Production details'!B93</f>
        <v>0</v>
      </c>
      <c r="D37" s="257">
        <f>'11.F&amp;V Crop Production details'!C93</f>
        <v>0</v>
      </c>
      <c r="E37" s="257">
        <f>'11.F&amp;V Crop Production details'!D93</f>
        <v>0</v>
      </c>
      <c r="F37" s="257">
        <f>'11.F&amp;V Crop Production details'!E93</f>
        <v>0</v>
      </c>
      <c r="G37" s="257">
        <f>'11.F&amp;V Crop Production details'!F93</f>
        <v>0</v>
      </c>
      <c r="H37" s="257">
        <f>'11.F&amp;V Crop Production details'!G93</f>
        <v>0</v>
      </c>
      <c r="I37" s="257">
        <f>'11.F&amp;V Crop Production details'!H93</f>
        <v>0</v>
      </c>
    </row>
    <row r="38" spans="1:9">
      <c r="A38" s="99">
        <f>'11.F&amp;V Crop Production details'!A94</f>
        <v>0</v>
      </c>
      <c r="B38" s="204"/>
      <c r="C38" s="257">
        <f>'11.F&amp;V Crop Production details'!B94</f>
        <v>0</v>
      </c>
      <c r="D38" s="257">
        <f>'11.F&amp;V Crop Production details'!C94</f>
        <v>0</v>
      </c>
      <c r="E38" s="257">
        <f>'11.F&amp;V Crop Production details'!D94</f>
        <v>0</v>
      </c>
      <c r="F38" s="257">
        <f>'11.F&amp;V Crop Production details'!E94</f>
        <v>0</v>
      </c>
      <c r="G38" s="257">
        <f>'11.F&amp;V Crop Production details'!F94</f>
        <v>0</v>
      </c>
      <c r="H38" s="257">
        <f>'11.F&amp;V Crop Production details'!G94</f>
        <v>0</v>
      </c>
      <c r="I38" s="257">
        <f>'11.F&amp;V Crop Production details'!H94</f>
        <v>0</v>
      </c>
    </row>
    <row r="39" spans="1:9">
      <c r="A39" s="99">
        <f>'11.F&amp;V Crop Production details'!A95</f>
        <v>0</v>
      </c>
      <c r="B39" s="204"/>
      <c r="C39" s="257">
        <f>'11.F&amp;V Crop Production details'!B95</f>
        <v>0</v>
      </c>
      <c r="D39" s="257">
        <f>'11.F&amp;V Crop Production details'!C95</f>
        <v>0</v>
      </c>
      <c r="E39" s="257">
        <f>'11.F&amp;V Crop Production details'!D95</f>
        <v>0</v>
      </c>
      <c r="F39" s="257">
        <f>'11.F&amp;V Crop Production details'!E95</f>
        <v>0</v>
      </c>
      <c r="G39" s="257">
        <f>'11.F&amp;V Crop Production details'!F95</f>
        <v>0</v>
      </c>
      <c r="H39" s="257">
        <f>'11.F&amp;V Crop Production details'!G95</f>
        <v>0</v>
      </c>
      <c r="I39" s="257">
        <f>'11.F&amp;V Crop Production details'!H95</f>
        <v>0</v>
      </c>
    </row>
    <row r="40" spans="1:9">
      <c r="A40" s="99">
        <f>'11.F&amp;V Crop Production details'!A96</f>
        <v>0</v>
      </c>
      <c r="B40" s="204"/>
      <c r="C40" s="257">
        <f>'11.F&amp;V Crop Production details'!B96</f>
        <v>0</v>
      </c>
      <c r="D40" s="257">
        <f>'11.F&amp;V Crop Production details'!C96</f>
        <v>0</v>
      </c>
      <c r="E40" s="257">
        <f>'11.F&amp;V Crop Production details'!D96</f>
        <v>0</v>
      </c>
      <c r="F40" s="257">
        <f>'11.F&amp;V Crop Production details'!E96</f>
        <v>0</v>
      </c>
      <c r="G40" s="257">
        <f>'11.F&amp;V Crop Production details'!F96</f>
        <v>0</v>
      </c>
      <c r="H40" s="257">
        <f>'11.F&amp;V Crop Production details'!G96</f>
        <v>0</v>
      </c>
      <c r="I40" s="257">
        <f>'11.F&amp;V Crop Production details'!H96</f>
        <v>0</v>
      </c>
    </row>
    <row r="41" spans="1:9">
      <c r="A41" s="99">
        <f>'11.F&amp;V Crop Production details'!A97</f>
        <v>0</v>
      </c>
      <c r="B41" s="204"/>
      <c r="C41" s="257">
        <f>'11.F&amp;V Crop Production details'!B97</f>
        <v>0</v>
      </c>
      <c r="D41" s="257">
        <f>'11.F&amp;V Crop Production details'!C97</f>
        <v>0</v>
      </c>
      <c r="E41" s="257">
        <f>'11.F&amp;V Crop Production details'!D97</f>
        <v>0</v>
      </c>
      <c r="F41" s="257">
        <f>'11.F&amp;V Crop Production details'!E97</f>
        <v>0</v>
      </c>
      <c r="G41" s="257">
        <f>'11.F&amp;V Crop Production details'!F97</f>
        <v>0</v>
      </c>
      <c r="H41" s="257">
        <f>'11.F&amp;V Crop Production details'!G97</f>
        <v>0</v>
      </c>
      <c r="I41" s="257">
        <f>'11.F&amp;V Crop Production details'!H97</f>
        <v>0</v>
      </c>
    </row>
    <row r="42" spans="1:9">
      <c r="A42" s="99">
        <f>'11.F&amp;V Crop Production details'!A98</f>
        <v>0</v>
      </c>
      <c r="B42" s="204"/>
      <c r="C42" s="257">
        <f>'11.F&amp;V Crop Production details'!B98</f>
        <v>0</v>
      </c>
      <c r="D42" s="257">
        <f>'11.F&amp;V Crop Production details'!C98</f>
        <v>0</v>
      </c>
      <c r="E42" s="257">
        <f>'11.F&amp;V Crop Production details'!D98</f>
        <v>0</v>
      </c>
      <c r="F42" s="257">
        <f>'11.F&amp;V Crop Production details'!E98</f>
        <v>0</v>
      </c>
      <c r="G42" s="257">
        <f>'11.F&amp;V Crop Production details'!F98</f>
        <v>0</v>
      </c>
      <c r="H42" s="257">
        <f>'11.F&amp;V Crop Production details'!G98</f>
        <v>0</v>
      </c>
      <c r="I42" s="257">
        <f>'11.F&amp;V Crop Production details'!H98</f>
        <v>0</v>
      </c>
    </row>
    <row r="43" spans="1:9">
      <c r="A43" s="99">
        <f>'11.F&amp;V Crop Production details'!A99</f>
        <v>0</v>
      </c>
      <c r="B43" s="204"/>
      <c r="C43" s="257">
        <f>'11.F&amp;V Crop Production details'!B99</f>
        <v>0</v>
      </c>
      <c r="D43" s="257">
        <f>'11.F&amp;V Crop Production details'!C99</f>
        <v>0</v>
      </c>
      <c r="E43" s="257">
        <f>'11.F&amp;V Crop Production details'!D99</f>
        <v>0</v>
      </c>
      <c r="F43" s="257">
        <f>'11.F&amp;V Crop Production details'!E99</f>
        <v>0</v>
      </c>
      <c r="G43" s="257">
        <f>'11.F&amp;V Crop Production details'!F99</f>
        <v>0</v>
      </c>
      <c r="H43" s="257">
        <f>'11.F&amp;V Crop Production details'!G99</f>
        <v>0</v>
      </c>
      <c r="I43" s="257">
        <f>'11.F&amp;V Crop Production details'!H99</f>
        <v>0</v>
      </c>
    </row>
    <row r="44" spans="1:9">
      <c r="A44" s="99">
        <f>'11.F&amp;V Crop Production details'!A100</f>
        <v>0</v>
      </c>
      <c r="B44" s="204"/>
      <c r="C44" s="257">
        <f>'11.F&amp;V Crop Production details'!B100</f>
        <v>0</v>
      </c>
      <c r="D44" s="257">
        <f>'11.F&amp;V Crop Production details'!C100</f>
        <v>0</v>
      </c>
      <c r="E44" s="257">
        <f>'11.F&amp;V Crop Production details'!D100</f>
        <v>0</v>
      </c>
      <c r="F44" s="257">
        <f>'11.F&amp;V Crop Production details'!E100</f>
        <v>0</v>
      </c>
      <c r="G44" s="257">
        <f>'11.F&amp;V Crop Production details'!F100</f>
        <v>0</v>
      </c>
      <c r="H44" s="257">
        <f>'11.F&amp;V Crop Production details'!G100</f>
        <v>0</v>
      </c>
      <c r="I44" s="257">
        <f>'11.F&amp;V Crop Production details'!H100</f>
        <v>0</v>
      </c>
    </row>
    <row r="45" spans="1:9">
      <c r="A45" s="99">
        <f>'11.F&amp;V Crop Production details'!A101</f>
        <v>0</v>
      </c>
      <c r="B45" s="204"/>
      <c r="C45" s="257">
        <f>'11.F&amp;V Crop Production details'!B101</f>
        <v>0</v>
      </c>
      <c r="D45" s="257">
        <f>'11.F&amp;V Crop Production details'!C101</f>
        <v>0</v>
      </c>
      <c r="E45" s="257">
        <f>'11.F&amp;V Crop Production details'!D101</f>
        <v>0</v>
      </c>
      <c r="F45" s="257">
        <f>'11.F&amp;V Crop Production details'!E101</f>
        <v>0</v>
      </c>
      <c r="G45" s="257">
        <f>'11.F&amp;V Crop Production details'!F101</f>
        <v>0</v>
      </c>
      <c r="H45" s="257">
        <f>'11.F&amp;V Crop Production details'!G101</f>
        <v>0</v>
      </c>
      <c r="I45" s="257">
        <f>'11.F&amp;V Crop Production details'!H101</f>
        <v>0</v>
      </c>
    </row>
    <row r="46" spans="1:9">
      <c r="A46" s="99">
        <f>'11.F&amp;V Crop Production details'!A102</f>
        <v>0</v>
      </c>
      <c r="B46" s="204"/>
      <c r="C46" s="257">
        <f>'11.F&amp;V Crop Production details'!B102</f>
        <v>0</v>
      </c>
      <c r="D46" s="257">
        <f>'11.F&amp;V Crop Production details'!C102</f>
        <v>0</v>
      </c>
      <c r="E46" s="257">
        <f>'11.F&amp;V Crop Production details'!D102</f>
        <v>0</v>
      </c>
      <c r="F46" s="257">
        <f>'11.F&amp;V Crop Production details'!E102</f>
        <v>0</v>
      </c>
      <c r="G46" s="257">
        <f>'11.F&amp;V Crop Production details'!F102</f>
        <v>0</v>
      </c>
      <c r="H46" s="257">
        <f>'11.F&amp;V Crop Production details'!G102</f>
        <v>0</v>
      </c>
      <c r="I46" s="257">
        <f>'11.F&amp;V Crop Production details'!H102</f>
        <v>0</v>
      </c>
    </row>
    <row r="47" spans="1:9">
      <c r="A47" s="99">
        <f>'11.F&amp;V Crop Production details'!A103</f>
        <v>0</v>
      </c>
      <c r="B47" s="204"/>
      <c r="C47" s="257">
        <f>'11.F&amp;V Crop Production details'!B103</f>
        <v>0</v>
      </c>
      <c r="D47" s="257">
        <f>'11.F&amp;V Crop Production details'!C103</f>
        <v>0</v>
      </c>
      <c r="E47" s="257">
        <f>'11.F&amp;V Crop Production details'!D103</f>
        <v>0</v>
      </c>
      <c r="F47" s="257">
        <f>'11.F&amp;V Crop Production details'!E103</f>
        <v>0</v>
      </c>
      <c r="G47" s="257">
        <f>'11.F&amp;V Crop Production details'!F103</f>
        <v>0</v>
      </c>
      <c r="H47" s="257">
        <f>'11.F&amp;V Crop Production details'!G103</f>
        <v>0</v>
      </c>
      <c r="I47" s="257">
        <f>'11.F&amp;V Crop Production details'!H103</f>
        <v>0</v>
      </c>
    </row>
    <row r="48" spans="1:9">
      <c r="A48" s="99">
        <f>'11.F&amp;V Crop Production details'!A104</f>
        <v>0</v>
      </c>
      <c r="B48" s="204"/>
      <c r="C48" s="257">
        <f>'11.F&amp;V Crop Production details'!B104</f>
        <v>0</v>
      </c>
      <c r="D48" s="257">
        <f>'11.F&amp;V Crop Production details'!C104</f>
        <v>0</v>
      </c>
      <c r="E48" s="257">
        <f>'11.F&amp;V Crop Production details'!D104</f>
        <v>0</v>
      </c>
      <c r="F48" s="257">
        <f>'11.F&amp;V Crop Production details'!E104</f>
        <v>0</v>
      </c>
      <c r="G48" s="257">
        <f>'11.F&amp;V Crop Production details'!F104</f>
        <v>0</v>
      </c>
      <c r="H48" s="257">
        <f>'11.F&amp;V Crop Production details'!G104</f>
        <v>0</v>
      </c>
      <c r="I48" s="257">
        <f>'11.F&amp;V Crop Production details'!H104</f>
        <v>0</v>
      </c>
    </row>
    <row r="49" spans="1:9">
      <c r="A49" s="99">
        <f>'11.F&amp;V Crop Production details'!A105</f>
        <v>0</v>
      </c>
      <c r="B49" s="204"/>
      <c r="C49" s="257">
        <f>'11.F&amp;V Crop Production details'!B105</f>
        <v>0</v>
      </c>
      <c r="D49" s="257">
        <f>'11.F&amp;V Crop Production details'!C105</f>
        <v>0</v>
      </c>
      <c r="E49" s="257">
        <f>'11.F&amp;V Crop Production details'!D105</f>
        <v>0</v>
      </c>
      <c r="F49" s="257">
        <f>'11.F&amp;V Crop Production details'!E105</f>
        <v>0</v>
      </c>
      <c r="G49" s="257">
        <f>'11.F&amp;V Crop Production details'!F105</f>
        <v>0</v>
      </c>
      <c r="H49" s="257">
        <f>'11.F&amp;V Crop Production details'!G105</f>
        <v>0</v>
      </c>
      <c r="I49" s="257">
        <f>'11.F&amp;V Crop Production details'!H105</f>
        <v>0</v>
      </c>
    </row>
    <row r="50" spans="1:9">
      <c r="A50" s="99">
        <f>'11.F&amp;V Crop Production details'!A106</f>
        <v>0</v>
      </c>
      <c r="B50" s="204"/>
      <c r="C50" s="257">
        <f>'11.F&amp;V Crop Production details'!B106</f>
        <v>0</v>
      </c>
      <c r="D50" s="257">
        <f>'11.F&amp;V Crop Production details'!C106</f>
        <v>0</v>
      </c>
      <c r="E50" s="257">
        <f>'11.F&amp;V Crop Production details'!D106</f>
        <v>0</v>
      </c>
      <c r="F50" s="257">
        <f>'11.F&amp;V Crop Production details'!E106</f>
        <v>0</v>
      </c>
      <c r="G50" s="257">
        <f>'11.F&amp;V Crop Production details'!F106</f>
        <v>0</v>
      </c>
      <c r="H50" s="257">
        <f>'11.F&amp;V Crop Production details'!G106</f>
        <v>0</v>
      </c>
      <c r="I50" s="257">
        <f>'11.F&amp;V Crop Production details'!H106</f>
        <v>0</v>
      </c>
    </row>
    <row r="51" spans="1:9">
      <c r="A51" s="99"/>
      <c r="B51" s="204"/>
      <c r="C51" s="204"/>
      <c r="D51" s="204"/>
      <c r="E51" s="204"/>
      <c r="F51" s="204"/>
      <c r="G51" s="204"/>
      <c r="H51" s="204"/>
      <c r="I51" s="204"/>
    </row>
    <row r="52" spans="1:9">
      <c r="A52" s="101" t="s">
        <v>148</v>
      </c>
      <c r="B52" s="99"/>
      <c r="C52" s="99"/>
      <c r="D52" s="99"/>
      <c r="E52" s="99"/>
      <c r="F52" s="99"/>
      <c r="G52" s="99"/>
      <c r="H52" s="99"/>
      <c r="I52" s="99"/>
    </row>
    <row r="53" spans="1:9">
      <c r="A53" s="101" t="s">
        <v>149</v>
      </c>
      <c r="B53" s="99"/>
      <c r="C53" s="99"/>
      <c r="D53" s="99"/>
      <c r="E53" s="99"/>
      <c r="F53" s="99"/>
      <c r="G53" s="99"/>
      <c r="H53" s="99"/>
      <c r="I53" s="99"/>
    </row>
    <row r="54" spans="1:9">
      <c r="A54" s="101" t="str">
        <f t="shared" ref="A54:A90" si="0">A8</f>
        <v>Kharif Crops</v>
      </c>
      <c r="B54" s="99"/>
      <c r="C54" s="99"/>
      <c r="D54" s="99"/>
      <c r="E54" s="99"/>
      <c r="F54" s="99"/>
      <c r="G54" s="99"/>
      <c r="H54" s="99"/>
      <c r="I54" s="99"/>
    </row>
    <row r="55" spans="1:9">
      <c r="A55" s="99" t="str">
        <f t="shared" si="0"/>
        <v>Soybean</v>
      </c>
      <c r="B55" s="232">
        <v>40</v>
      </c>
      <c r="C55" s="205">
        <f t="shared" ref="C55:I55" si="1">$B55*C9</f>
        <v>0</v>
      </c>
      <c r="D55" s="205">
        <f t="shared" si="1"/>
        <v>0</v>
      </c>
      <c r="E55" s="205">
        <f t="shared" si="1"/>
        <v>0</v>
      </c>
      <c r="F55" s="205">
        <f t="shared" si="1"/>
        <v>0</v>
      </c>
      <c r="G55" s="205">
        <f t="shared" si="1"/>
        <v>0</v>
      </c>
      <c r="H55" s="205">
        <f t="shared" si="1"/>
        <v>0</v>
      </c>
      <c r="I55" s="205">
        <f t="shared" si="1"/>
        <v>0</v>
      </c>
    </row>
    <row r="56" spans="1:9">
      <c r="A56" s="99" t="str">
        <f t="shared" si="0"/>
        <v>Red Gram/Tur</v>
      </c>
      <c r="B56" s="232">
        <v>5</v>
      </c>
      <c r="C56" s="205">
        <f t="shared" ref="C56:C62" si="2">$B56*C10</f>
        <v>0</v>
      </c>
      <c r="D56" s="205">
        <f t="shared" ref="D56:I56" si="3">$B$56*D10</f>
        <v>0</v>
      </c>
      <c r="E56" s="205">
        <f t="shared" si="3"/>
        <v>0</v>
      </c>
      <c r="F56" s="205">
        <f t="shared" si="3"/>
        <v>0</v>
      </c>
      <c r="G56" s="205">
        <f t="shared" si="3"/>
        <v>0</v>
      </c>
      <c r="H56" s="205">
        <f t="shared" si="3"/>
        <v>0</v>
      </c>
      <c r="I56" s="205">
        <f t="shared" si="3"/>
        <v>0</v>
      </c>
    </row>
    <row r="57" spans="1:9">
      <c r="A57" s="99" t="str">
        <f t="shared" si="0"/>
        <v>Paddy/Rice</v>
      </c>
      <c r="B57" s="232">
        <v>15</v>
      </c>
      <c r="C57" s="205">
        <f t="shared" si="2"/>
        <v>0</v>
      </c>
      <c r="D57" s="205">
        <f t="shared" ref="D57:I57" si="4">$B$57*D11</f>
        <v>0</v>
      </c>
      <c r="E57" s="205">
        <f t="shared" si="4"/>
        <v>0</v>
      </c>
      <c r="F57" s="205">
        <f t="shared" si="4"/>
        <v>0</v>
      </c>
      <c r="G57" s="205">
        <f t="shared" si="4"/>
        <v>0</v>
      </c>
      <c r="H57" s="205">
        <f t="shared" si="4"/>
        <v>0</v>
      </c>
      <c r="I57" s="205">
        <f t="shared" si="4"/>
        <v>0</v>
      </c>
    </row>
    <row r="58" spans="1:9">
      <c r="A58" s="99" t="str">
        <f t="shared" si="0"/>
        <v>Green Gram/ Moong</v>
      </c>
      <c r="B58" s="232">
        <v>15</v>
      </c>
      <c r="C58" s="205">
        <f t="shared" si="2"/>
        <v>0</v>
      </c>
      <c r="D58" s="205">
        <f t="shared" ref="D58:I62" si="5">$B58*D12</f>
        <v>0</v>
      </c>
      <c r="E58" s="205">
        <f t="shared" si="5"/>
        <v>0</v>
      </c>
      <c r="F58" s="205">
        <f t="shared" si="5"/>
        <v>0</v>
      </c>
      <c r="G58" s="205">
        <f t="shared" si="5"/>
        <v>0</v>
      </c>
      <c r="H58" s="205">
        <f t="shared" si="5"/>
        <v>0</v>
      </c>
      <c r="I58" s="205">
        <f t="shared" si="5"/>
        <v>0</v>
      </c>
    </row>
    <row r="59" spans="1:9">
      <c r="A59" s="99" t="str">
        <f t="shared" si="0"/>
        <v>Maize</v>
      </c>
      <c r="B59" s="232">
        <v>25</v>
      </c>
      <c r="C59" s="205">
        <f t="shared" si="2"/>
        <v>0</v>
      </c>
      <c r="D59" s="205">
        <f t="shared" si="5"/>
        <v>0</v>
      </c>
      <c r="E59" s="205">
        <f t="shared" si="5"/>
        <v>0</v>
      </c>
      <c r="F59" s="205">
        <f t="shared" si="5"/>
        <v>0</v>
      </c>
      <c r="G59" s="205">
        <f t="shared" si="5"/>
        <v>0</v>
      </c>
      <c r="H59" s="205">
        <f t="shared" si="5"/>
        <v>0</v>
      </c>
      <c r="I59" s="205">
        <f t="shared" si="5"/>
        <v>0</v>
      </c>
    </row>
    <row r="60" spans="1:9">
      <c r="A60" s="99" t="str">
        <f t="shared" si="0"/>
        <v>Black Gram/Udid</v>
      </c>
      <c r="B60" s="232">
        <v>15</v>
      </c>
      <c r="C60" s="205">
        <f t="shared" si="2"/>
        <v>0</v>
      </c>
      <c r="D60" s="205">
        <f t="shared" si="5"/>
        <v>0</v>
      </c>
      <c r="E60" s="205">
        <f t="shared" si="5"/>
        <v>0</v>
      </c>
      <c r="F60" s="205">
        <f t="shared" si="5"/>
        <v>0</v>
      </c>
      <c r="G60" s="205">
        <f t="shared" si="5"/>
        <v>0</v>
      </c>
      <c r="H60" s="205">
        <f t="shared" si="5"/>
        <v>0</v>
      </c>
      <c r="I60" s="205">
        <f t="shared" si="5"/>
        <v>0</v>
      </c>
    </row>
    <row r="61" spans="1:9">
      <c r="A61" s="99" t="str">
        <f t="shared" si="0"/>
        <v>Bajra</v>
      </c>
      <c r="B61" s="232">
        <v>5</v>
      </c>
      <c r="C61" s="205">
        <f t="shared" si="2"/>
        <v>0</v>
      </c>
      <c r="D61" s="205">
        <f t="shared" si="5"/>
        <v>0</v>
      </c>
      <c r="E61" s="205">
        <f t="shared" si="5"/>
        <v>0</v>
      </c>
      <c r="F61" s="205">
        <f t="shared" si="5"/>
        <v>0</v>
      </c>
      <c r="G61" s="205">
        <f t="shared" si="5"/>
        <v>0</v>
      </c>
      <c r="H61" s="205">
        <f t="shared" si="5"/>
        <v>0</v>
      </c>
      <c r="I61" s="205">
        <f t="shared" si="5"/>
        <v>0</v>
      </c>
    </row>
    <row r="62" spans="1:9">
      <c r="A62" s="99" t="str">
        <f t="shared" si="0"/>
        <v>Jawar</v>
      </c>
      <c r="B62" s="232">
        <v>5</v>
      </c>
      <c r="C62" s="205">
        <f t="shared" si="2"/>
        <v>0</v>
      </c>
      <c r="D62" s="205">
        <f t="shared" si="5"/>
        <v>0</v>
      </c>
      <c r="E62" s="205">
        <f t="shared" si="5"/>
        <v>0</v>
      </c>
      <c r="F62" s="205">
        <f t="shared" si="5"/>
        <v>0</v>
      </c>
      <c r="G62" s="205">
        <f t="shared" si="5"/>
        <v>0</v>
      </c>
      <c r="H62" s="205">
        <f t="shared" si="5"/>
        <v>0</v>
      </c>
      <c r="I62" s="205">
        <f t="shared" si="5"/>
        <v>0</v>
      </c>
    </row>
    <row r="63" spans="1:9">
      <c r="A63" s="101" t="str">
        <f t="shared" si="0"/>
        <v>Rabi Crop</v>
      </c>
      <c r="B63" s="232"/>
      <c r="C63" s="205"/>
      <c r="D63" s="205"/>
      <c r="E63" s="205"/>
      <c r="F63" s="205"/>
      <c r="G63" s="205"/>
      <c r="H63" s="205"/>
      <c r="I63" s="205"/>
    </row>
    <row r="64" spans="1:9">
      <c r="A64" s="99" t="str">
        <f t="shared" si="0"/>
        <v>Wheat</v>
      </c>
      <c r="B64" s="232">
        <v>20</v>
      </c>
      <c r="C64" s="205">
        <f t="shared" ref="C64:I71" si="6">$B64*C18</f>
        <v>0</v>
      </c>
      <c r="D64" s="205">
        <f t="shared" si="6"/>
        <v>0</v>
      </c>
      <c r="E64" s="205">
        <f t="shared" si="6"/>
        <v>0</v>
      </c>
      <c r="F64" s="205">
        <f t="shared" si="6"/>
        <v>0</v>
      </c>
      <c r="G64" s="205">
        <f t="shared" si="6"/>
        <v>0</v>
      </c>
      <c r="H64" s="205">
        <f t="shared" si="6"/>
        <v>0</v>
      </c>
      <c r="I64" s="205">
        <f t="shared" si="6"/>
        <v>0</v>
      </c>
    </row>
    <row r="65" spans="1:9">
      <c r="A65" s="99" t="str">
        <f t="shared" si="0"/>
        <v>Bengal Gram/Channa</v>
      </c>
      <c r="B65" s="232">
        <v>25</v>
      </c>
      <c r="C65" s="205">
        <f t="shared" si="6"/>
        <v>0</v>
      </c>
      <c r="D65" s="205">
        <f t="shared" si="6"/>
        <v>0</v>
      </c>
      <c r="E65" s="205">
        <f t="shared" si="6"/>
        <v>0</v>
      </c>
      <c r="F65" s="205">
        <f t="shared" si="6"/>
        <v>0</v>
      </c>
      <c r="G65" s="205">
        <f t="shared" si="6"/>
        <v>0</v>
      </c>
      <c r="H65" s="205">
        <f t="shared" si="6"/>
        <v>0</v>
      </c>
      <c r="I65" s="205">
        <f t="shared" si="6"/>
        <v>0</v>
      </c>
    </row>
    <row r="66" spans="1:9">
      <c r="A66" s="99" t="str">
        <f t="shared" si="0"/>
        <v>Jawar</v>
      </c>
      <c r="B66" s="232">
        <v>5</v>
      </c>
      <c r="C66" s="205">
        <f t="shared" si="6"/>
        <v>0</v>
      </c>
      <c r="D66" s="205">
        <f t="shared" si="6"/>
        <v>0</v>
      </c>
      <c r="E66" s="205">
        <f t="shared" si="6"/>
        <v>0</v>
      </c>
      <c r="F66" s="205">
        <f t="shared" si="6"/>
        <v>0</v>
      </c>
      <c r="G66" s="205">
        <f t="shared" si="6"/>
        <v>0</v>
      </c>
      <c r="H66" s="205">
        <f t="shared" si="6"/>
        <v>0</v>
      </c>
      <c r="I66" s="205">
        <f t="shared" si="6"/>
        <v>0</v>
      </c>
    </row>
    <row r="67" spans="1:9">
      <c r="A67" s="99" t="str">
        <f t="shared" si="0"/>
        <v>Maize</v>
      </c>
      <c r="B67" s="232">
        <v>20</v>
      </c>
      <c r="C67" s="205">
        <f t="shared" si="6"/>
        <v>0</v>
      </c>
      <c r="D67" s="205">
        <f t="shared" si="6"/>
        <v>0</v>
      </c>
      <c r="E67" s="205">
        <f t="shared" si="6"/>
        <v>0</v>
      </c>
      <c r="F67" s="205">
        <f t="shared" si="6"/>
        <v>0</v>
      </c>
      <c r="G67" s="205">
        <f t="shared" si="6"/>
        <v>0</v>
      </c>
      <c r="H67" s="205">
        <f t="shared" si="6"/>
        <v>0</v>
      </c>
      <c r="I67" s="205">
        <f t="shared" si="6"/>
        <v>0</v>
      </c>
    </row>
    <row r="68" spans="1:9">
      <c r="A68" s="99" t="str">
        <f t="shared" si="0"/>
        <v>Safflower</v>
      </c>
      <c r="B68" s="232"/>
      <c r="C68" s="205">
        <f t="shared" si="6"/>
        <v>0</v>
      </c>
      <c r="D68" s="205">
        <f t="shared" si="6"/>
        <v>0</v>
      </c>
      <c r="E68" s="205">
        <f t="shared" si="6"/>
        <v>0</v>
      </c>
      <c r="F68" s="205">
        <f t="shared" si="6"/>
        <v>0</v>
      </c>
      <c r="G68" s="205">
        <f t="shared" si="6"/>
        <v>0</v>
      </c>
      <c r="H68" s="205">
        <f t="shared" si="6"/>
        <v>0</v>
      </c>
      <c r="I68" s="205">
        <f t="shared" si="6"/>
        <v>0</v>
      </c>
    </row>
    <row r="69" spans="1:9">
      <c r="A69" s="99">
        <f t="shared" si="0"/>
        <v>0</v>
      </c>
      <c r="B69" s="232"/>
      <c r="C69" s="205">
        <f t="shared" si="6"/>
        <v>0</v>
      </c>
      <c r="D69" s="205">
        <f t="shared" si="6"/>
        <v>0</v>
      </c>
      <c r="E69" s="205">
        <f t="shared" si="6"/>
        <v>0</v>
      </c>
      <c r="F69" s="205">
        <f t="shared" si="6"/>
        <v>0</v>
      </c>
      <c r="G69" s="205">
        <f t="shared" si="6"/>
        <v>0</v>
      </c>
      <c r="H69" s="205">
        <f t="shared" si="6"/>
        <v>0</v>
      </c>
      <c r="I69" s="205">
        <f t="shared" si="6"/>
        <v>0</v>
      </c>
    </row>
    <row r="70" spans="1:9">
      <c r="A70" s="99">
        <f t="shared" si="0"/>
        <v>0</v>
      </c>
      <c r="B70" s="232"/>
      <c r="C70" s="205">
        <f t="shared" si="6"/>
        <v>0</v>
      </c>
      <c r="D70" s="205">
        <f t="shared" si="6"/>
        <v>0</v>
      </c>
      <c r="E70" s="205">
        <f t="shared" si="6"/>
        <v>0</v>
      </c>
      <c r="F70" s="205">
        <f t="shared" si="6"/>
        <v>0</v>
      </c>
      <c r="G70" s="205">
        <f t="shared" si="6"/>
        <v>0</v>
      </c>
      <c r="H70" s="205">
        <f t="shared" si="6"/>
        <v>0</v>
      </c>
      <c r="I70" s="205">
        <f t="shared" si="6"/>
        <v>0</v>
      </c>
    </row>
    <row r="71" spans="1:9">
      <c r="A71" s="99">
        <f t="shared" si="0"/>
        <v>0</v>
      </c>
      <c r="B71" s="232"/>
      <c r="C71" s="205">
        <f t="shared" si="6"/>
        <v>0</v>
      </c>
      <c r="D71" s="205">
        <f t="shared" si="6"/>
        <v>0</v>
      </c>
      <c r="E71" s="205">
        <f t="shared" si="6"/>
        <v>0</v>
      </c>
      <c r="F71" s="205">
        <f t="shared" si="6"/>
        <v>0</v>
      </c>
      <c r="G71" s="205">
        <f t="shared" si="6"/>
        <v>0</v>
      </c>
      <c r="H71" s="205">
        <f t="shared" si="6"/>
        <v>0</v>
      </c>
      <c r="I71" s="205">
        <f t="shared" si="6"/>
        <v>0</v>
      </c>
    </row>
    <row r="72" spans="1:9">
      <c r="A72" s="101" t="str">
        <f t="shared" si="0"/>
        <v>Summer</v>
      </c>
      <c r="B72" s="232"/>
      <c r="C72" s="205"/>
      <c r="D72" s="205"/>
      <c r="E72" s="205"/>
      <c r="F72" s="205"/>
      <c r="G72" s="205"/>
      <c r="H72" s="205"/>
      <c r="I72" s="205"/>
    </row>
    <row r="73" spans="1:9">
      <c r="A73" s="99" t="str">
        <f t="shared" si="0"/>
        <v>Groundnut</v>
      </c>
      <c r="B73" s="232"/>
      <c r="C73" s="205">
        <f t="shared" ref="C73:I77" si="7">$B73*C27</f>
        <v>0</v>
      </c>
      <c r="D73" s="205">
        <f t="shared" si="7"/>
        <v>0</v>
      </c>
      <c r="E73" s="205">
        <f t="shared" si="7"/>
        <v>0</v>
      </c>
      <c r="F73" s="205">
        <f t="shared" si="7"/>
        <v>0</v>
      </c>
      <c r="G73" s="205">
        <f t="shared" si="7"/>
        <v>0</v>
      </c>
      <c r="H73" s="205">
        <f t="shared" si="7"/>
        <v>0</v>
      </c>
      <c r="I73" s="205">
        <f t="shared" si="7"/>
        <v>0</v>
      </c>
    </row>
    <row r="74" spans="1:9">
      <c r="A74" s="99">
        <f t="shared" si="0"/>
        <v>0</v>
      </c>
      <c r="B74" s="232"/>
      <c r="C74" s="205">
        <f t="shared" si="7"/>
        <v>0</v>
      </c>
      <c r="D74" s="205">
        <f t="shared" si="7"/>
        <v>0</v>
      </c>
      <c r="E74" s="205">
        <f t="shared" si="7"/>
        <v>0</v>
      </c>
      <c r="F74" s="205">
        <f t="shared" si="7"/>
        <v>0</v>
      </c>
      <c r="G74" s="205">
        <f t="shared" si="7"/>
        <v>0</v>
      </c>
      <c r="H74" s="205">
        <f t="shared" si="7"/>
        <v>0</v>
      </c>
      <c r="I74" s="205">
        <f t="shared" si="7"/>
        <v>0</v>
      </c>
    </row>
    <row r="75" spans="1:9">
      <c r="A75" s="99">
        <f t="shared" si="0"/>
        <v>0</v>
      </c>
      <c r="B75" s="232"/>
      <c r="C75" s="205">
        <f t="shared" si="7"/>
        <v>0</v>
      </c>
      <c r="D75" s="205">
        <f t="shared" si="7"/>
        <v>0</v>
      </c>
      <c r="E75" s="205">
        <f t="shared" si="7"/>
        <v>0</v>
      </c>
      <c r="F75" s="205">
        <f t="shared" si="7"/>
        <v>0</v>
      </c>
      <c r="G75" s="205">
        <f t="shared" si="7"/>
        <v>0</v>
      </c>
      <c r="H75" s="205">
        <f t="shared" si="7"/>
        <v>0</v>
      </c>
      <c r="I75" s="205">
        <f t="shared" si="7"/>
        <v>0</v>
      </c>
    </row>
    <row r="76" spans="1:9">
      <c r="A76" s="99">
        <f t="shared" si="0"/>
        <v>0</v>
      </c>
      <c r="B76" s="232"/>
      <c r="C76" s="205">
        <f t="shared" si="7"/>
        <v>0</v>
      </c>
      <c r="D76" s="205">
        <f t="shared" si="7"/>
        <v>0</v>
      </c>
      <c r="E76" s="205">
        <f t="shared" si="7"/>
        <v>0</v>
      </c>
      <c r="F76" s="205">
        <f t="shared" si="7"/>
        <v>0</v>
      </c>
      <c r="G76" s="205">
        <f t="shared" si="7"/>
        <v>0</v>
      </c>
      <c r="H76" s="205">
        <f t="shared" si="7"/>
        <v>0</v>
      </c>
      <c r="I76" s="205">
        <f t="shared" si="7"/>
        <v>0</v>
      </c>
    </row>
    <row r="77" spans="1:9">
      <c r="A77" s="99">
        <f t="shared" si="0"/>
        <v>0</v>
      </c>
      <c r="B77" s="232"/>
      <c r="C77" s="205">
        <f t="shared" si="7"/>
        <v>0</v>
      </c>
      <c r="D77" s="205">
        <f t="shared" si="7"/>
        <v>0</v>
      </c>
      <c r="E77" s="205">
        <f t="shared" si="7"/>
        <v>0</v>
      </c>
      <c r="F77" s="205">
        <f t="shared" si="7"/>
        <v>0</v>
      </c>
      <c r="G77" s="205">
        <f t="shared" si="7"/>
        <v>0</v>
      </c>
      <c r="H77" s="205">
        <f t="shared" si="7"/>
        <v>0</v>
      </c>
      <c r="I77" s="205">
        <f t="shared" si="7"/>
        <v>0</v>
      </c>
    </row>
    <row r="78" spans="1:9">
      <c r="A78" s="101" t="str">
        <f t="shared" si="0"/>
        <v>Fruit  &amp; Vegetables Crop Production Details</v>
      </c>
      <c r="B78" s="232"/>
      <c r="C78" s="205"/>
      <c r="D78" s="205"/>
      <c r="E78" s="205"/>
      <c r="F78" s="205"/>
      <c r="G78" s="205"/>
      <c r="H78" s="205"/>
      <c r="I78" s="205"/>
    </row>
    <row r="79" spans="1:9">
      <c r="A79" s="99">
        <f t="shared" si="0"/>
        <v>0</v>
      </c>
      <c r="B79" s="232"/>
      <c r="C79" s="205">
        <f t="shared" ref="C79:I90" si="8">$B79*C33</f>
        <v>0</v>
      </c>
      <c r="D79" s="205">
        <f t="shared" si="8"/>
        <v>0</v>
      </c>
      <c r="E79" s="205">
        <f t="shared" si="8"/>
        <v>0</v>
      </c>
      <c r="F79" s="205">
        <f t="shared" si="8"/>
        <v>0</v>
      </c>
      <c r="G79" s="205">
        <f t="shared" si="8"/>
        <v>0</v>
      </c>
      <c r="H79" s="205">
        <f t="shared" si="8"/>
        <v>0</v>
      </c>
      <c r="I79" s="205">
        <f t="shared" si="8"/>
        <v>0</v>
      </c>
    </row>
    <row r="80" spans="1:9">
      <c r="A80" s="99">
        <f t="shared" si="0"/>
        <v>0</v>
      </c>
      <c r="B80" s="232"/>
      <c r="C80" s="205">
        <f t="shared" si="8"/>
        <v>0</v>
      </c>
      <c r="D80" s="205">
        <f t="shared" si="8"/>
        <v>0</v>
      </c>
      <c r="E80" s="205">
        <f t="shared" si="8"/>
        <v>0</v>
      </c>
      <c r="F80" s="205">
        <f t="shared" si="8"/>
        <v>0</v>
      </c>
      <c r="G80" s="205">
        <f t="shared" si="8"/>
        <v>0</v>
      </c>
      <c r="H80" s="205">
        <f t="shared" si="8"/>
        <v>0</v>
      </c>
      <c r="I80" s="205">
        <f t="shared" si="8"/>
        <v>0</v>
      </c>
    </row>
    <row r="81" spans="1:9">
      <c r="A81" s="99">
        <f t="shared" si="0"/>
        <v>0</v>
      </c>
      <c r="B81" s="232"/>
      <c r="C81" s="205">
        <f t="shared" si="8"/>
        <v>0</v>
      </c>
      <c r="D81" s="205">
        <f t="shared" si="8"/>
        <v>0</v>
      </c>
      <c r="E81" s="205">
        <f t="shared" si="8"/>
        <v>0</v>
      </c>
      <c r="F81" s="205">
        <f t="shared" si="8"/>
        <v>0</v>
      </c>
      <c r="G81" s="205">
        <f t="shared" si="8"/>
        <v>0</v>
      </c>
      <c r="H81" s="205">
        <f t="shared" si="8"/>
        <v>0</v>
      </c>
      <c r="I81" s="205">
        <f t="shared" si="8"/>
        <v>0</v>
      </c>
    </row>
    <row r="82" spans="1:9">
      <c r="A82" s="99">
        <f t="shared" si="0"/>
        <v>0</v>
      </c>
      <c r="B82" s="232"/>
      <c r="C82" s="205">
        <f t="shared" si="8"/>
        <v>0</v>
      </c>
      <c r="D82" s="205">
        <f t="shared" si="8"/>
        <v>0</v>
      </c>
      <c r="E82" s="205">
        <f t="shared" si="8"/>
        <v>0</v>
      </c>
      <c r="F82" s="205">
        <f t="shared" si="8"/>
        <v>0</v>
      </c>
      <c r="G82" s="205">
        <f t="shared" si="8"/>
        <v>0</v>
      </c>
      <c r="H82" s="205">
        <f t="shared" si="8"/>
        <v>0</v>
      </c>
      <c r="I82" s="205">
        <f t="shared" si="8"/>
        <v>0</v>
      </c>
    </row>
    <row r="83" spans="1:9">
      <c r="A83" s="99">
        <f t="shared" si="0"/>
        <v>0</v>
      </c>
      <c r="B83" s="232"/>
      <c r="C83" s="205">
        <f t="shared" si="8"/>
        <v>0</v>
      </c>
      <c r="D83" s="205">
        <f t="shared" si="8"/>
        <v>0</v>
      </c>
      <c r="E83" s="205">
        <f t="shared" si="8"/>
        <v>0</v>
      </c>
      <c r="F83" s="205">
        <f t="shared" si="8"/>
        <v>0</v>
      </c>
      <c r="G83" s="205">
        <f t="shared" si="8"/>
        <v>0</v>
      </c>
      <c r="H83" s="205">
        <f t="shared" si="8"/>
        <v>0</v>
      </c>
      <c r="I83" s="205">
        <f t="shared" si="8"/>
        <v>0</v>
      </c>
    </row>
    <row r="84" spans="1:9">
      <c r="A84" s="99">
        <f t="shared" si="0"/>
        <v>0</v>
      </c>
      <c r="B84" s="232"/>
      <c r="C84" s="205">
        <f t="shared" si="8"/>
        <v>0</v>
      </c>
      <c r="D84" s="205">
        <f t="shared" si="8"/>
        <v>0</v>
      </c>
      <c r="E84" s="205">
        <f t="shared" si="8"/>
        <v>0</v>
      </c>
      <c r="F84" s="205">
        <f t="shared" si="8"/>
        <v>0</v>
      </c>
      <c r="G84" s="205">
        <f t="shared" si="8"/>
        <v>0</v>
      </c>
      <c r="H84" s="205">
        <f t="shared" si="8"/>
        <v>0</v>
      </c>
      <c r="I84" s="205">
        <f t="shared" si="8"/>
        <v>0</v>
      </c>
    </row>
    <row r="85" spans="1:9">
      <c r="A85" s="99">
        <f t="shared" si="0"/>
        <v>0</v>
      </c>
      <c r="B85" s="232"/>
      <c r="C85" s="205">
        <f t="shared" si="8"/>
        <v>0</v>
      </c>
      <c r="D85" s="205">
        <f t="shared" si="8"/>
        <v>0</v>
      </c>
      <c r="E85" s="205">
        <f t="shared" si="8"/>
        <v>0</v>
      </c>
      <c r="F85" s="205">
        <f t="shared" si="8"/>
        <v>0</v>
      </c>
      <c r="G85" s="205">
        <f t="shared" si="8"/>
        <v>0</v>
      </c>
      <c r="H85" s="205">
        <f t="shared" si="8"/>
        <v>0</v>
      </c>
      <c r="I85" s="205">
        <f t="shared" si="8"/>
        <v>0</v>
      </c>
    </row>
    <row r="86" spans="1:9">
      <c r="A86" s="99">
        <f t="shared" si="0"/>
        <v>0</v>
      </c>
      <c r="B86" s="232"/>
      <c r="C86" s="205">
        <f t="shared" si="8"/>
        <v>0</v>
      </c>
      <c r="D86" s="205">
        <f t="shared" si="8"/>
        <v>0</v>
      </c>
      <c r="E86" s="205">
        <f t="shared" si="8"/>
        <v>0</v>
      </c>
      <c r="F86" s="205">
        <f t="shared" si="8"/>
        <v>0</v>
      </c>
      <c r="G86" s="205">
        <f t="shared" si="8"/>
        <v>0</v>
      </c>
      <c r="H86" s="205">
        <f t="shared" si="8"/>
        <v>0</v>
      </c>
      <c r="I86" s="205">
        <f t="shared" si="8"/>
        <v>0</v>
      </c>
    </row>
    <row r="87" spans="1:9">
      <c r="A87" s="99">
        <f t="shared" si="0"/>
        <v>0</v>
      </c>
      <c r="B87" s="232"/>
      <c r="C87" s="205">
        <f t="shared" si="8"/>
        <v>0</v>
      </c>
      <c r="D87" s="205">
        <f t="shared" si="8"/>
        <v>0</v>
      </c>
      <c r="E87" s="205">
        <f t="shared" si="8"/>
        <v>0</v>
      </c>
      <c r="F87" s="205">
        <f t="shared" si="8"/>
        <v>0</v>
      </c>
      <c r="G87" s="205">
        <f t="shared" si="8"/>
        <v>0</v>
      </c>
      <c r="H87" s="205">
        <f t="shared" si="8"/>
        <v>0</v>
      </c>
      <c r="I87" s="205">
        <f t="shared" si="8"/>
        <v>0</v>
      </c>
    </row>
    <row r="88" spans="1:9">
      <c r="A88" s="99">
        <f t="shared" si="0"/>
        <v>0</v>
      </c>
      <c r="B88" s="232"/>
      <c r="C88" s="205">
        <f t="shared" si="8"/>
        <v>0</v>
      </c>
      <c r="D88" s="205">
        <f t="shared" si="8"/>
        <v>0</v>
      </c>
      <c r="E88" s="205">
        <f t="shared" si="8"/>
        <v>0</v>
      </c>
      <c r="F88" s="205">
        <f t="shared" si="8"/>
        <v>0</v>
      </c>
      <c r="G88" s="205">
        <f t="shared" si="8"/>
        <v>0</v>
      </c>
      <c r="H88" s="205">
        <f t="shared" si="8"/>
        <v>0</v>
      </c>
      <c r="I88" s="205">
        <f t="shared" si="8"/>
        <v>0</v>
      </c>
    </row>
    <row r="89" spans="1:9">
      <c r="A89" s="99">
        <f t="shared" si="0"/>
        <v>0</v>
      </c>
      <c r="B89" s="232"/>
      <c r="C89" s="205">
        <f t="shared" si="8"/>
        <v>0</v>
      </c>
      <c r="D89" s="205">
        <f t="shared" si="8"/>
        <v>0</v>
      </c>
      <c r="E89" s="205">
        <f t="shared" si="8"/>
        <v>0</v>
      </c>
      <c r="F89" s="205">
        <f t="shared" si="8"/>
        <v>0</v>
      </c>
      <c r="G89" s="205">
        <f t="shared" si="8"/>
        <v>0</v>
      </c>
      <c r="H89" s="205">
        <f t="shared" si="8"/>
        <v>0</v>
      </c>
      <c r="I89" s="205">
        <f t="shared" si="8"/>
        <v>0</v>
      </c>
    </row>
    <row r="90" spans="1:9">
      <c r="A90" s="99">
        <f t="shared" si="0"/>
        <v>0</v>
      </c>
      <c r="B90" s="232"/>
      <c r="C90" s="205">
        <f t="shared" si="8"/>
        <v>0</v>
      </c>
      <c r="D90" s="205">
        <f t="shared" si="8"/>
        <v>0</v>
      </c>
      <c r="E90" s="205">
        <f t="shared" si="8"/>
        <v>0</v>
      </c>
      <c r="F90" s="205">
        <f t="shared" si="8"/>
        <v>0</v>
      </c>
      <c r="G90" s="205">
        <f t="shared" si="8"/>
        <v>0</v>
      </c>
      <c r="H90" s="205">
        <f t="shared" si="8"/>
        <v>0</v>
      </c>
      <c r="I90" s="205">
        <f t="shared" si="8"/>
        <v>0</v>
      </c>
    </row>
    <row r="91" spans="1:9">
      <c r="A91" s="99">
        <f>A46</f>
        <v>0</v>
      </c>
      <c r="B91" s="232"/>
      <c r="C91" s="205">
        <f t="shared" ref="C91:I95" si="9">$B91*C46</f>
        <v>0</v>
      </c>
      <c r="D91" s="205">
        <f t="shared" si="9"/>
        <v>0</v>
      </c>
      <c r="E91" s="205">
        <f t="shared" si="9"/>
        <v>0</v>
      </c>
      <c r="F91" s="205">
        <f t="shared" si="9"/>
        <v>0</v>
      </c>
      <c r="G91" s="205">
        <f t="shared" si="9"/>
        <v>0</v>
      </c>
      <c r="H91" s="205">
        <f t="shared" si="9"/>
        <v>0</v>
      </c>
      <c r="I91" s="205">
        <f t="shared" si="9"/>
        <v>0</v>
      </c>
    </row>
    <row r="92" spans="1:9">
      <c r="A92" s="99">
        <f>A47</f>
        <v>0</v>
      </c>
      <c r="B92" s="232"/>
      <c r="C92" s="205">
        <f t="shared" si="9"/>
        <v>0</v>
      </c>
      <c r="D92" s="205">
        <f t="shared" si="9"/>
        <v>0</v>
      </c>
      <c r="E92" s="205">
        <f t="shared" si="9"/>
        <v>0</v>
      </c>
      <c r="F92" s="205">
        <f t="shared" si="9"/>
        <v>0</v>
      </c>
      <c r="G92" s="205">
        <f t="shared" si="9"/>
        <v>0</v>
      </c>
      <c r="H92" s="205">
        <f t="shared" si="9"/>
        <v>0</v>
      </c>
      <c r="I92" s="205">
        <f t="shared" si="9"/>
        <v>0</v>
      </c>
    </row>
    <row r="93" spans="1:9">
      <c r="A93" s="99">
        <f>A48</f>
        <v>0</v>
      </c>
      <c r="B93" s="232"/>
      <c r="C93" s="205">
        <f t="shared" si="9"/>
        <v>0</v>
      </c>
      <c r="D93" s="205">
        <f t="shared" si="9"/>
        <v>0</v>
      </c>
      <c r="E93" s="205">
        <f t="shared" si="9"/>
        <v>0</v>
      </c>
      <c r="F93" s="205">
        <f t="shared" si="9"/>
        <v>0</v>
      </c>
      <c r="G93" s="205">
        <f t="shared" si="9"/>
        <v>0</v>
      </c>
      <c r="H93" s="205">
        <f t="shared" si="9"/>
        <v>0</v>
      </c>
      <c r="I93" s="205">
        <f t="shared" si="9"/>
        <v>0</v>
      </c>
    </row>
    <row r="94" spans="1:9">
      <c r="A94" s="99">
        <f>A49</f>
        <v>0</v>
      </c>
      <c r="B94" s="232"/>
      <c r="C94" s="205">
        <f t="shared" si="9"/>
        <v>0</v>
      </c>
      <c r="D94" s="205">
        <f t="shared" si="9"/>
        <v>0</v>
      </c>
      <c r="E94" s="205">
        <f t="shared" si="9"/>
        <v>0</v>
      </c>
      <c r="F94" s="205">
        <f t="shared" si="9"/>
        <v>0</v>
      </c>
      <c r="G94" s="205">
        <f t="shared" si="9"/>
        <v>0</v>
      </c>
      <c r="H94" s="205">
        <f t="shared" si="9"/>
        <v>0</v>
      </c>
      <c r="I94" s="205">
        <f t="shared" si="9"/>
        <v>0</v>
      </c>
    </row>
    <row r="95" spans="1:9">
      <c r="A95" s="99">
        <f>A50</f>
        <v>0</v>
      </c>
      <c r="B95" s="232"/>
      <c r="C95" s="205">
        <f t="shared" si="9"/>
        <v>0</v>
      </c>
      <c r="D95" s="205">
        <f t="shared" si="9"/>
        <v>0</v>
      </c>
      <c r="E95" s="205">
        <f t="shared" si="9"/>
        <v>0</v>
      </c>
      <c r="F95" s="205">
        <f t="shared" si="9"/>
        <v>0</v>
      </c>
      <c r="G95" s="205">
        <f t="shared" si="9"/>
        <v>0</v>
      </c>
      <c r="H95" s="205">
        <f t="shared" si="9"/>
        <v>0</v>
      </c>
      <c r="I95" s="205">
        <f t="shared" si="9"/>
        <v>0</v>
      </c>
    </row>
    <row r="96" spans="1:9">
      <c r="A96" s="99"/>
      <c r="B96" s="232"/>
      <c r="C96" s="205"/>
      <c r="D96" s="205"/>
      <c r="E96" s="205"/>
      <c r="F96" s="205"/>
      <c r="G96" s="205"/>
      <c r="H96" s="205"/>
      <c r="I96" s="205"/>
    </row>
    <row r="97" spans="1:23">
      <c r="A97" s="99"/>
      <c r="B97" s="232"/>
      <c r="C97" s="205"/>
      <c r="D97" s="205"/>
      <c r="E97" s="205"/>
      <c r="F97" s="205"/>
      <c r="G97" s="205"/>
      <c r="H97" s="205"/>
      <c r="I97" s="205"/>
    </row>
    <row r="98" spans="1:23">
      <c r="A98" s="101" t="s">
        <v>150</v>
      </c>
      <c r="B98" s="99"/>
      <c r="C98" s="99"/>
      <c r="D98" s="99"/>
      <c r="E98" s="99"/>
      <c r="F98" s="99"/>
      <c r="G98" s="99"/>
      <c r="H98" s="99"/>
      <c r="I98" s="99"/>
    </row>
    <row r="99" spans="1:23">
      <c r="A99" s="99" t="s">
        <v>368</v>
      </c>
      <c r="B99" s="232">
        <v>100</v>
      </c>
      <c r="C99" s="205">
        <f t="shared" ref="C99:I99" si="10">SUM(C55:C95)*$B$99</f>
        <v>0</v>
      </c>
      <c r="D99" s="205">
        <f t="shared" si="10"/>
        <v>0</v>
      </c>
      <c r="E99" s="205">
        <f t="shared" si="10"/>
        <v>0</v>
      </c>
      <c r="F99" s="205">
        <f t="shared" si="10"/>
        <v>0</v>
      </c>
      <c r="G99" s="205">
        <f t="shared" si="10"/>
        <v>0</v>
      </c>
      <c r="H99" s="205">
        <f t="shared" si="10"/>
        <v>0</v>
      </c>
      <c r="I99" s="205">
        <f t="shared" si="10"/>
        <v>0</v>
      </c>
    </row>
    <row r="100" spans="1:23">
      <c r="A100" s="99" t="s">
        <v>144</v>
      </c>
      <c r="B100" s="232">
        <v>30</v>
      </c>
      <c r="C100" s="205">
        <f t="shared" ref="C100:I100" si="11">SUM(C55:C95)*$B$100</f>
        <v>0</v>
      </c>
      <c r="D100" s="205">
        <f t="shared" si="11"/>
        <v>0</v>
      </c>
      <c r="E100" s="205">
        <f t="shared" si="11"/>
        <v>0</v>
      </c>
      <c r="F100" s="205">
        <f t="shared" si="11"/>
        <v>0</v>
      </c>
      <c r="G100" s="205">
        <f t="shared" si="11"/>
        <v>0</v>
      </c>
      <c r="H100" s="205">
        <f t="shared" si="11"/>
        <v>0</v>
      </c>
      <c r="I100" s="205">
        <f t="shared" si="11"/>
        <v>0</v>
      </c>
    </row>
    <row r="101" spans="1:23">
      <c r="A101" s="99" t="s">
        <v>146</v>
      </c>
      <c r="B101" s="232">
        <v>30</v>
      </c>
      <c r="C101" s="205">
        <f t="shared" ref="C101:I101" si="12">SUM(C55:C95)*$B$101</f>
        <v>0</v>
      </c>
      <c r="D101" s="205">
        <f t="shared" si="12"/>
        <v>0</v>
      </c>
      <c r="E101" s="205">
        <f t="shared" si="12"/>
        <v>0</v>
      </c>
      <c r="F101" s="205">
        <f t="shared" si="12"/>
        <v>0</v>
      </c>
      <c r="G101" s="205">
        <f t="shared" si="12"/>
        <v>0</v>
      </c>
      <c r="H101" s="205">
        <f t="shared" si="12"/>
        <v>0</v>
      </c>
      <c r="I101" s="205">
        <f t="shared" si="12"/>
        <v>0</v>
      </c>
    </row>
    <row r="102" spans="1:23">
      <c r="A102" s="101" t="s">
        <v>145</v>
      </c>
      <c r="B102" s="232"/>
      <c r="C102" s="99"/>
      <c r="D102" s="99"/>
      <c r="E102" s="99"/>
      <c r="F102" s="99"/>
      <c r="G102" s="99"/>
      <c r="H102" s="99"/>
      <c r="I102" s="99"/>
    </row>
    <row r="103" spans="1:23">
      <c r="A103" s="99" t="s">
        <v>151</v>
      </c>
      <c r="B103" s="232">
        <v>0.2</v>
      </c>
      <c r="C103" s="205">
        <f t="shared" ref="C103:I103" si="13">SUM(C55:C95)*$B$103</f>
        <v>0</v>
      </c>
      <c r="D103" s="205">
        <f t="shared" si="13"/>
        <v>0</v>
      </c>
      <c r="E103" s="205">
        <f t="shared" si="13"/>
        <v>0</v>
      </c>
      <c r="F103" s="205">
        <f t="shared" si="13"/>
        <v>0</v>
      </c>
      <c r="G103" s="205">
        <f t="shared" si="13"/>
        <v>0</v>
      </c>
      <c r="H103" s="205">
        <f t="shared" si="13"/>
        <v>0</v>
      </c>
      <c r="I103" s="205">
        <f t="shared" si="13"/>
        <v>0</v>
      </c>
    </row>
    <row r="104" spans="1:23">
      <c r="A104" s="99" t="s">
        <v>152</v>
      </c>
      <c r="B104" s="232">
        <v>0.5</v>
      </c>
      <c r="C104" s="205">
        <f t="shared" ref="C104:I104" si="14">SUM(C55:C95)*$B$104</f>
        <v>0</v>
      </c>
      <c r="D104" s="205">
        <f t="shared" si="14"/>
        <v>0</v>
      </c>
      <c r="E104" s="205">
        <f t="shared" si="14"/>
        <v>0</v>
      </c>
      <c r="F104" s="205">
        <f t="shared" si="14"/>
        <v>0</v>
      </c>
      <c r="G104" s="205">
        <f t="shared" si="14"/>
        <v>0</v>
      </c>
      <c r="H104" s="205">
        <f t="shared" si="14"/>
        <v>0</v>
      </c>
      <c r="I104" s="205">
        <f t="shared" si="14"/>
        <v>0</v>
      </c>
    </row>
    <row r="107" spans="1:23" ht="18.75">
      <c r="A107" s="425" t="s">
        <v>551</v>
      </c>
      <c r="B107" s="425"/>
      <c r="C107" s="425"/>
      <c r="D107" s="425"/>
      <c r="E107" s="425"/>
      <c r="F107" s="425"/>
      <c r="G107" s="425"/>
      <c r="H107" s="425"/>
      <c r="I107" s="425"/>
      <c r="J107" s="425"/>
    </row>
    <row r="108" spans="1:23">
      <c r="A108" s="31"/>
      <c r="B108" s="62"/>
      <c r="C108" s="31"/>
      <c r="D108" s="31"/>
      <c r="E108" s="31"/>
      <c r="F108" s="31"/>
      <c r="G108" s="31"/>
      <c r="H108" s="31"/>
    </row>
    <row r="109" spans="1:23">
      <c r="A109" s="192"/>
      <c r="B109" s="192"/>
      <c r="C109" s="192"/>
      <c r="D109" s="193">
        <v>1</v>
      </c>
      <c r="E109" s="194">
        <f>(D109*5%)+D109</f>
        <v>1.05</v>
      </c>
      <c r="F109" s="194">
        <f t="shared" ref="F109:J109" si="15">(E109*5%)+E109</f>
        <v>1.1025</v>
      </c>
      <c r="G109" s="194">
        <f t="shared" si="15"/>
        <v>1.1576250000000001</v>
      </c>
      <c r="H109" s="194">
        <f t="shared" si="15"/>
        <v>1.2155062500000002</v>
      </c>
      <c r="I109" s="194">
        <f t="shared" si="15"/>
        <v>1.2762815625000004</v>
      </c>
      <c r="J109" s="194">
        <f t="shared" si="15"/>
        <v>1.3400956406250004</v>
      </c>
      <c r="K109" s="94"/>
      <c r="U109" s="94"/>
      <c r="V109" s="94"/>
      <c r="W109" s="94"/>
    </row>
    <row r="110" spans="1:23">
      <c r="A110" s="94"/>
      <c r="B110" s="94"/>
      <c r="C110" s="94"/>
      <c r="D110" s="94"/>
      <c r="E110" s="94"/>
      <c r="F110" s="94"/>
      <c r="G110" s="94"/>
      <c r="H110" s="94"/>
      <c r="I110" s="94"/>
      <c r="J110" s="94"/>
      <c r="K110" s="94"/>
      <c r="U110" s="94"/>
      <c r="V110" s="94"/>
      <c r="W110" s="94"/>
    </row>
    <row r="111" spans="1:23">
      <c r="A111" s="148" t="s">
        <v>0</v>
      </c>
      <c r="B111" s="148" t="s">
        <v>97</v>
      </c>
      <c r="C111" s="148" t="s">
        <v>118</v>
      </c>
      <c r="D111" s="120" t="s">
        <v>2</v>
      </c>
      <c r="E111" s="120" t="s">
        <v>3</v>
      </c>
      <c r="F111" s="120" t="s">
        <v>4</v>
      </c>
      <c r="G111" s="120" t="s">
        <v>5</v>
      </c>
      <c r="H111" s="120" t="s">
        <v>6</v>
      </c>
      <c r="I111" s="120" t="s">
        <v>134</v>
      </c>
      <c r="J111" s="120" t="s">
        <v>133</v>
      </c>
      <c r="K111" s="94"/>
      <c r="U111" s="94"/>
      <c r="V111" s="94"/>
      <c r="W111" s="94"/>
    </row>
    <row r="112" spans="1:23">
      <c r="A112" s="97" t="s">
        <v>91</v>
      </c>
      <c r="B112" s="95"/>
      <c r="C112" s="95"/>
      <c r="D112" s="95"/>
      <c r="E112" s="95"/>
      <c r="F112" s="95"/>
      <c r="G112" s="95"/>
      <c r="H112" s="95"/>
      <c r="I112" s="95"/>
      <c r="J112" s="95"/>
      <c r="K112" s="94"/>
      <c r="U112" s="94"/>
      <c r="V112" s="94"/>
      <c r="W112" s="94"/>
    </row>
    <row r="113" spans="1:23">
      <c r="A113" s="95" t="s">
        <v>241</v>
      </c>
      <c r="B113" s="95"/>
      <c r="C113" s="95"/>
      <c r="D113" s="95"/>
      <c r="E113" s="95"/>
      <c r="F113" s="95"/>
      <c r="G113" s="95"/>
      <c r="H113" s="95"/>
      <c r="I113" s="95"/>
      <c r="J113" s="95"/>
      <c r="K113" s="94"/>
      <c r="U113" s="94"/>
      <c r="V113" s="94"/>
      <c r="W113" s="94"/>
    </row>
    <row r="114" spans="1:23">
      <c r="A114" s="97" t="str">
        <f t="shared" ref="A114:A150" si="16">A8</f>
        <v>Kharif Crops</v>
      </c>
      <c r="B114" s="95"/>
      <c r="C114" s="95"/>
      <c r="D114" s="95"/>
      <c r="E114" s="95"/>
      <c r="F114" s="95"/>
      <c r="G114" s="95"/>
      <c r="H114" s="95"/>
      <c r="I114" s="95"/>
      <c r="J114" s="95"/>
      <c r="K114" s="94"/>
      <c r="U114" s="94"/>
      <c r="V114" s="94"/>
      <c r="W114" s="94"/>
    </row>
    <row r="115" spans="1:23">
      <c r="A115" s="95" t="str">
        <f t="shared" si="16"/>
        <v>Soybean</v>
      </c>
      <c r="B115" s="95"/>
      <c r="C115" s="232">
        <v>90</v>
      </c>
      <c r="D115" s="96">
        <f>(C55*(1-'5.Closing Stock &amp; W Capital'!$D$15))*$C$115*D$109</f>
        <v>0</v>
      </c>
      <c r="E115" s="96">
        <f>(D55*(1-'5.Closing Stock &amp; W Capital'!$D$15))*$C$115*E$109</f>
        <v>0</v>
      </c>
      <c r="F115" s="96">
        <f>(E55*(1-'5.Closing Stock &amp; W Capital'!$D$15))*$C$115*F$109</f>
        <v>0</v>
      </c>
      <c r="G115" s="96">
        <f>(F55*(1-'5.Closing Stock &amp; W Capital'!$D$15))*$C$115*G$109</f>
        <v>0</v>
      </c>
      <c r="H115" s="96">
        <f>(G55*(1-'5.Closing Stock &amp; W Capital'!$D$15))*$C$115*H$109</f>
        <v>0</v>
      </c>
      <c r="I115" s="96">
        <f>(H55*(1-'5.Closing Stock &amp; W Capital'!$D$15))*$C$115*I$109</f>
        <v>0</v>
      </c>
      <c r="J115" s="96">
        <f>(I55*(1-'5.Closing Stock &amp; W Capital'!$D$15))*$C$115*J$109</f>
        <v>0</v>
      </c>
      <c r="K115" s="94"/>
      <c r="U115" s="94"/>
      <c r="V115" s="94"/>
      <c r="W115" s="94"/>
    </row>
    <row r="116" spans="1:23">
      <c r="A116" s="95" t="str">
        <f t="shared" si="16"/>
        <v>Red Gram/Tur</v>
      </c>
      <c r="B116" s="95"/>
      <c r="C116" s="256">
        <v>80</v>
      </c>
      <c r="D116" s="96">
        <f>(C56*(1-'5.Closing Stock &amp; W Capital'!$D$15))*$C$116*D$109</f>
        <v>0</v>
      </c>
      <c r="E116" s="96">
        <f>((D56*(1-'5.Closing Stock &amp; W Capital'!$D$15))+(C56*'5.Closing Stock &amp; W Capital'!$D$15))*$C$116*E$109</f>
        <v>0</v>
      </c>
      <c r="F116" s="96">
        <f>((E56*(1-'5.Closing Stock &amp; W Capital'!$D$15))+(D56*'5.Closing Stock &amp; W Capital'!$D$15))*$C$116*F$109</f>
        <v>0</v>
      </c>
      <c r="G116" s="96">
        <f>((F56*(1-'5.Closing Stock &amp; W Capital'!$D$15))+(E56*'5.Closing Stock &amp; W Capital'!$D$15))*$C$116*G109</f>
        <v>0</v>
      </c>
      <c r="H116" s="96">
        <f>((G56*(1-'5.Closing Stock &amp; W Capital'!$D$15))+(F56*'5.Closing Stock &amp; W Capital'!$D$15))*$C$116*H109</f>
        <v>0</v>
      </c>
      <c r="I116" s="96">
        <f>((H56*(1-'5.Closing Stock &amp; W Capital'!$D$15))+(G56*'5.Closing Stock &amp; W Capital'!$D$15))*$C$116*I109</f>
        <v>0</v>
      </c>
      <c r="J116" s="96">
        <f>((I56*(1-'5.Closing Stock &amp; W Capital'!$D$15))+(H56*'5.Closing Stock &amp; W Capital'!$D$15))*$C$116*J109</f>
        <v>0</v>
      </c>
      <c r="K116" s="94"/>
      <c r="U116" s="179"/>
      <c r="V116" s="94"/>
      <c r="W116" s="94"/>
    </row>
    <row r="117" spans="1:23">
      <c r="A117" s="95" t="str">
        <f t="shared" si="16"/>
        <v>Paddy/Rice</v>
      </c>
      <c r="B117" s="95"/>
      <c r="C117" s="256">
        <v>65</v>
      </c>
      <c r="D117" s="96">
        <f>(C57*(1-'5.Closing Stock &amp; W Capital'!$D$15))*$C$117*D$109</f>
        <v>0</v>
      </c>
      <c r="E117" s="96">
        <f>((D57*(1-'5.Closing Stock &amp; W Capital'!$D$15))+(C57*'5.Closing Stock &amp; W Capital'!$D$15))*$C$117*E$109</f>
        <v>0</v>
      </c>
      <c r="F117" s="96">
        <f>((E57*(1-'5.Closing Stock &amp; W Capital'!$D$15))+(D57*'5.Closing Stock &amp; W Capital'!$D$15))*$C$117*F$109</f>
        <v>0</v>
      </c>
      <c r="G117" s="96">
        <f>((F57*(1-'5.Closing Stock &amp; W Capital'!$D$15))+(E57*'5.Closing Stock &amp; W Capital'!$D$15))*$C$117*G109</f>
        <v>0</v>
      </c>
      <c r="H117" s="96">
        <f>((G57*(1-'5.Closing Stock &amp; W Capital'!$D$15))+(F57*'5.Closing Stock &amp; W Capital'!$D$15))*$C$117*H109</f>
        <v>0</v>
      </c>
      <c r="I117" s="96">
        <f>((H57*(1-'5.Closing Stock &amp; W Capital'!$D$15))+(G57*'5.Closing Stock &amp; W Capital'!$D$15))*$C$117*I109</f>
        <v>0</v>
      </c>
      <c r="J117" s="96">
        <f>((I57*(1-'5.Closing Stock &amp; W Capital'!$D$15))+(H57*'5.Closing Stock &amp; W Capital'!$D$15))*$C$117*J109</f>
        <v>0</v>
      </c>
      <c r="K117" s="94"/>
      <c r="U117" s="94"/>
      <c r="V117" s="94"/>
      <c r="W117" s="94"/>
    </row>
    <row r="118" spans="1:23">
      <c r="A118" s="95" t="str">
        <f t="shared" si="16"/>
        <v>Green Gram/ Moong</v>
      </c>
      <c r="B118" s="95"/>
      <c r="C118" s="256">
        <v>85</v>
      </c>
      <c r="D118" s="96">
        <f>(C58*(1-'5.Closing Stock &amp; W Capital'!$D$15))*$C$118*D$109</f>
        <v>0</v>
      </c>
      <c r="E118" s="96">
        <f>((D58*(1-'5.Closing Stock &amp; W Capital'!$D$15))+(C58*'5.Closing Stock &amp; W Capital'!$D$15))*$C$118*E$109</f>
        <v>0</v>
      </c>
      <c r="F118" s="96">
        <f>((E58*(1-'5.Closing Stock &amp; W Capital'!$D$15))+(D58*'5.Closing Stock &amp; W Capital'!$D$15))*$C$118*F$109</f>
        <v>0</v>
      </c>
      <c r="G118" s="96">
        <f>((F58*(1-'5.Closing Stock &amp; W Capital'!$D$15))+(E58*'5.Closing Stock &amp; W Capital'!$D$15))*$C$118*G$109</f>
        <v>0</v>
      </c>
      <c r="H118" s="96">
        <f>((G58*(1-'5.Closing Stock &amp; W Capital'!$D$15))+(F58*'5.Closing Stock &amp; W Capital'!$D$15))*$C$118*H$109</f>
        <v>0</v>
      </c>
      <c r="I118" s="96">
        <f>((H58*(1-'5.Closing Stock &amp; W Capital'!$D$15))+(G58*'5.Closing Stock &amp; W Capital'!$D$15))*$C$118*I$109</f>
        <v>0</v>
      </c>
      <c r="J118" s="96">
        <f>((I58*(1-'5.Closing Stock &amp; W Capital'!$D$15))+(H58*'5.Closing Stock &amp; W Capital'!$D$15))*$C$118*J$109</f>
        <v>0</v>
      </c>
      <c r="K118" s="94"/>
      <c r="U118" s="94"/>
      <c r="V118" s="94"/>
      <c r="W118" s="94"/>
    </row>
    <row r="119" spans="1:23">
      <c r="A119" s="95" t="str">
        <f t="shared" si="16"/>
        <v>Maize</v>
      </c>
      <c r="B119" s="95"/>
      <c r="C119" s="256">
        <v>37</v>
      </c>
      <c r="D119" s="96">
        <f>(C59*(1-'5.Closing Stock &amp; W Capital'!$D$15))*$C$119*D$109</f>
        <v>0</v>
      </c>
      <c r="E119" s="96">
        <f>((D59*(1-'5.Closing Stock &amp; W Capital'!$D$15))+(C59*'5.Closing Stock &amp; W Capital'!$D$15))*$C$120*E$109</f>
        <v>0</v>
      </c>
      <c r="F119" s="96">
        <f>((E59*(1-'5.Closing Stock &amp; W Capital'!$D$15))+(D59*'5.Closing Stock &amp; W Capital'!$D$15))*$C$120*F$109</f>
        <v>0</v>
      </c>
      <c r="G119" s="96">
        <f>((F59*(1-'5.Closing Stock &amp; W Capital'!$D$15))+(E59*'5.Closing Stock &amp; W Capital'!$D$15))*$C$120*G$109</f>
        <v>0</v>
      </c>
      <c r="H119" s="96">
        <f>((G59*(1-'5.Closing Stock &amp; W Capital'!$D$15))+(F59*'5.Closing Stock &amp; W Capital'!$D$15))*$C$120*H$109</f>
        <v>0</v>
      </c>
      <c r="I119" s="96">
        <f>((H59*(1-'5.Closing Stock &amp; W Capital'!$D$15))+(G59*'5.Closing Stock &amp; W Capital'!$D$15))*$C$120*I$109</f>
        <v>0</v>
      </c>
      <c r="J119" s="96">
        <f>((I59*(1-'5.Closing Stock &amp; W Capital'!$D$15))+(H59*'5.Closing Stock &amp; W Capital'!$D$15))*$C$120*J$109</f>
        <v>0</v>
      </c>
      <c r="K119" s="94"/>
      <c r="U119" s="94"/>
      <c r="V119" s="94"/>
      <c r="W119" s="94"/>
    </row>
    <row r="120" spans="1:23">
      <c r="A120" s="95" t="str">
        <f t="shared" si="16"/>
        <v>Black Gram/Udid</v>
      </c>
      <c r="B120" s="95"/>
      <c r="C120" s="256">
        <v>75</v>
      </c>
      <c r="D120" s="96">
        <f>(C60*(1-'5.Closing Stock &amp; W Capital'!$D$15))*$C$120*D$109</f>
        <v>0</v>
      </c>
      <c r="E120" s="96">
        <f>((D60*(1-'5.Closing Stock &amp; W Capital'!$D$15))+(C60*'5.Closing Stock &amp; W Capital'!$D$15))*$C$120*E$109</f>
        <v>0</v>
      </c>
      <c r="F120" s="96">
        <f>((E60*(1-'5.Closing Stock &amp; W Capital'!$D$15))+(D60*'5.Closing Stock &amp; W Capital'!$D$15))*$C$120*F$109</f>
        <v>0</v>
      </c>
      <c r="G120" s="96">
        <f>((F60*(1-'5.Closing Stock &amp; W Capital'!$D$15))+(E60*'5.Closing Stock &amp; W Capital'!$D$15))*$C$120*G$109</f>
        <v>0</v>
      </c>
      <c r="H120" s="96">
        <f>((G60*(1-'5.Closing Stock &amp; W Capital'!$D$15))+(F60*'5.Closing Stock &amp; W Capital'!$D$15))*$C$120*H$109</f>
        <v>0</v>
      </c>
      <c r="I120" s="96">
        <f>((H60*(1-'5.Closing Stock &amp; W Capital'!$D$15))+(G60*'5.Closing Stock &amp; W Capital'!$D$15))*$C$120*I$109</f>
        <v>0</v>
      </c>
      <c r="J120" s="96">
        <f>((I60*(1-'5.Closing Stock &amp; W Capital'!$D$15))+(H60*'5.Closing Stock &amp; W Capital'!$D$15))*$C$120*J$109</f>
        <v>0</v>
      </c>
      <c r="K120" s="94"/>
      <c r="U120" s="94"/>
      <c r="V120" s="94"/>
      <c r="W120" s="94"/>
    </row>
    <row r="121" spans="1:23">
      <c r="A121" s="95" t="str">
        <f t="shared" si="16"/>
        <v>Bajra</v>
      </c>
      <c r="B121" s="95"/>
      <c r="C121" s="256">
        <v>30</v>
      </c>
      <c r="D121" s="96">
        <f>(C61*(1-'5.Closing Stock &amp; W Capital'!$D$15))*$C$121*D$109</f>
        <v>0</v>
      </c>
      <c r="E121" s="96">
        <f>((D61*(1-'5.Closing Stock &amp; W Capital'!$D$15))+(C61*'5.Closing Stock &amp; W Capital'!$D$15))*$C$121*E$109</f>
        <v>0</v>
      </c>
      <c r="F121" s="96">
        <f>((E61*(1-'5.Closing Stock &amp; W Capital'!$D$15))+(D61*'5.Closing Stock &amp; W Capital'!$D$15))*$C$121*F$109</f>
        <v>0</v>
      </c>
      <c r="G121" s="96">
        <f>((F61*(1-'5.Closing Stock &amp; W Capital'!$D$15))+(E61*'5.Closing Stock &amp; W Capital'!$D$15))*$C$121*G$109</f>
        <v>0</v>
      </c>
      <c r="H121" s="96">
        <f>((G61*(1-'5.Closing Stock &amp; W Capital'!$D$15))+(F61*'5.Closing Stock &amp; W Capital'!$D$15))*$C$121*H$109</f>
        <v>0</v>
      </c>
      <c r="I121" s="96">
        <f>((H61*(1-'5.Closing Stock &amp; W Capital'!$D$15))+(G61*'5.Closing Stock &amp; W Capital'!$D$15))*$C$121*I$109</f>
        <v>0</v>
      </c>
      <c r="J121" s="96">
        <f>((I61*(1-'5.Closing Stock &amp; W Capital'!$D$15))+(H61*'5.Closing Stock &amp; W Capital'!$D$15))*$C$121*J$109</f>
        <v>0</v>
      </c>
      <c r="K121" s="94"/>
      <c r="U121" s="94"/>
      <c r="V121" s="94"/>
      <c r="W121" s="94"/>
    </row>
    <row r="122" spans="1:23">
      <c r="A122" s="95" t="str">
        <f t="shared" si="16"/>
        <v>Jawar</v>
      </c>
      <c r="B122" s="95"/>
      <c r="C122" s="256">
        <v>30</v>
      </c>
      <c r="D122" s="96">
        <f>(C62*(1-'5.Closing Stock &amp; W Capital'!$D$15))*$C$122*D$109</f>
        <v>0</v>
      </c>
      <c r="E122" s="96">
        <f>((D62*(1-'5.Closing Stock &amp; W Capital'!$D$15))+(C62*'5.Closing Stock &amp; W Capital'!$D$15))*$C$122*E$109</f>
        <v>0</v>
      </c>
      <c r="F122" s="96">
        <f>((E62*(1-'5.Closing Stock &amp; W Capital'!$D$15))+(D62*'5.Closing Stock &amp; W Capital'!$D$15))*$C$122*F$109</f>
        <v>0</v>
      </c>
      <c r="G122" s="96">
        <f>((F62*(1-'5.Closing Stock &amp; W Capital'!$D$15))+(E62*'5.Closing Stock &amp; W Capital'!$D$15))*$C$122*G$109</f>
        <v>0</v>
      </c>
      <c r="H122" s="96">
        <f>((G62*(1-'5.Closing Stock &amp; W Capital'!$D$15))+(F62*'5.Closing Stock &amp; W Capital'!$D$15))*$C$122*H$109</f>
        <v>0</v>
      </c>
      <c r="I122" s="96">
        <f>((H62*(1-'5.Closing Stock &amp; W Capital'!$D$15))+(G62*'5.Closing Stock &amp; W Capital'!$D$15))*$C$122*I$109</f>
        <v>0</v>
      </c>
      <c r="J122" s="96">
        <f>((I62*(1-'5.Closing Stock &amp; W Capital'!$D$15))+(H62*'5.Closing Stock &amp; W Capital'!$D$15))*$C$122*J$109</f>
        <v>0</v>
      </c>
      <c r="K122" s="94"/>
      <c r="U122" s="94"/>
      <c r="V122" s="94"/>
      <c r="W122" s="94"/>
    </row>
    <row r="123" spans="1:23">
      <c r="A123" s="97" t="str">
        <f t="shared" si="16"/>
        <v>Rabi Crop</v>
      </c>
      <c r="B123" s="95"/>
      <c r="C123" s="256"/>
      <c r="D123" s="96"/>
      <c r="E123" s="96"/>
      <c r="F123" s="96"/>
      <c r="G123" s="96"/>
      <c r="H123" s="96"/>
      <c r="I123" s="96"/>
      <c r="J123" s="96"/>
      <c r="K123" s="94"/>
      <c r="U123" s="94"/>
      <c r="V123" s="94"/>
      <c r="W123" s="94"/>
    </row>
    <row r="124" spans="1:23">
      <c r="A124" s="95" t="str">
        <f t="shared" si="16"/>
        <v>Wheat</v>
      </c>
      <c r="B124" s="95"/>
      <c r="C124" s="256">
        <v>40</v>
      </c>
      <c r="D124" s="96">
        <f>(C64*(1-'5.Closing Stock &amp; W Capital'!$D$15))*$C$124*D$109</f>
        <v>0</v>
      </c>
      <c r="E124" s="96">
        <f>((D64*(1-'5.Closing Stock &amp; W Capital'!$D$15))+(C64*'5.Closing Stock &amp; W Capital'!$D$15))*$C$124*E$109</f>
        <v>0</v>
      </c>
      <c r="F124" s="96">
        <f>((E64*(1-'5.Closing Stock &amp; W Capital'!$D$15))+(D64*'5.Closing Stock &amp; W Capital'!$D$15))*$C$124*F$109</f>
        <v>0</v>
      </c>
      <c r="G124" s="96">
        <f>((F64*(1-'5.Closing Stock &amp; W Capital'!$D$15))+(E64*'5.Closing Stock &amp; W Capital'!$D$15))*$C$124*G$109</f>
        <v>0</v>
      </c>
      <c r="H124" s="96">
        <f>((G64*(1-'5.Closing Stock &amp; W Capital'!$D$15))+(F64*'5.Closing Stock &amp; W Capital'!$D$15))*$C$124*H$109</f>
        <v>0</v>
      </c>
      <c r="I124" s="96">
        <f>((H64*(1-'5.Closing Stock &amp; W Capital'!$D$15))+(G64*'5.Closing Stock &amp; W Capital'!$D$15))*$C$124*I$109</f>
        <v>0</v>
      </c>
      <c r="J124" s="96">
        <f>((I64*(1-'5.Closing Stock &amp; W Capital'!$D$15))+(H64*'5.Closing Stock &amp; W Capital'!$D$15))*$C$124*J$109</f>
        <v>0</v>
      </c>
      <c r="K124" s="94"/>
      <c r="U124" s="94"/>
      <c r="V124" s="94"/>
      <c r="W124" s="94"/>
    </row>
    <row r="125" spans="1:23">
      <c r="A125" s="95" t="str">
        <f t="shared" si="16"/>
        <v>Bengal Gram/Channa</v>
      </c>
      <c r="B125" s="95"/>
      <c r="C125" s="256">
        <v>75</v>
      </c>
      <c r="D125" s="96">
        <f>(C65*(1-'5.Closing Stock &amp; W Capital'!$D$15))*$C$125*D$109</f>
        <v>0</v>
      </c>
      <c r="E125" s="96">
        <f>((D65*(1-'5.Closing Stock &amp; W Capital'!$D$15))+(C65*'5.Closing Stock &amp; W Capital'!$D$15))*$C$125*E$109</f>
        <v>0</v>
      </c>
      <c r="F125" s="96">
        <f>((E65*(1-'5.Closing Stock &amp; W Capital'!$D$15))+(D65*'5.Closing Stock &amp; W Capital'!$D$15))*$C$125*F$109</f>
        <v>0</v>
      </c>
      <c r="G125" s="96">
        <f>((F65*(1-'5.Closing Stock &amp; W Capital'!$D$15))+(E65*'5.Closing Stock &amp; W Capital'!$D$15))*$C$125*G$109</f>
        <v>0</v>
      </c>
      <c r="H125" s="96">
        <f>((G65*(1-'5.Closing Stock &amp; W Capital'!$D$15))+(F65*'5.Closing Stock &amp; W Capital'!$D$15))*$C$125*H$109</f>
        <v>0</v>
      </c>
      <c r="I125" s="96">
        <f>((H65*(1-'5.Closing Stock &amp; W Capital'!$D$15))+(G65*'5.Closing Stock &amp; W Capital'!$D$15))*$C$125*I$109</f>
        <v>0</v>
      </c>
      <c r="J125" s="96">
        <f>((I65*(1-'5.Closing Stock &amp; W Capital'!$D$15))+(H65*'5.Closing Stock &amp; W Capital'!$D$15))*$C$125*J$109</f>
        <v>0</v>
      </c>
      <c r="K125" s="94"/>
      <c r="U125" s="94"/>
      <c r="V125" s="94"/>
      <c r="W125" s="94"/>
    </row>
    <row r="126" spans="1:23">
      <c r="A126" s="95" t="str">
        <f t="shared" si="16"/>
        <v>Jawar</v>
      </c>
      <c r="B126" s="95"/>
      <c r="C126" s="256">
        <v>27</v>
      </c>
      <c r="D126" s="96">
        <f>(C66*(1-'5.Closing Stock &amp; W Capital'!$D$15))*$C$126*D$109</f>
        <v>0</v>
      </c>
      <c r="E126" s="96">
        <f>((D66*(1-'5.Closing Stock &amp; W Capital'!$D$15))+(C66*'5.Closing Stock &amp; W Capital'!$D$15))*$C$126*E$109</f>
        <v>0</v>
      </c>
      <c r="F126" s="96">
        <f>((E66*(1-'5.Closing Stock &amp; W Capital'!$D$15))+(D66*'5.Closing Stock &amp; W Capital'!$D$15))*$C$126*F$109</f>
        <v>0</v>
      </c>
      <c r="G126" s="96">
        <f>((F66*(1-'5.Closing Stock &amp; W Capital'!$D$15))+(E66*'5.Closing Stock &amp; W Capital'!$D$15))*$C$126*G$109</f>
        <v>0</v>
      </c>
      <c r="H126" s="96">
        <f>((G66*(1-'5.Closing Stock &amp; W Capital'!$D$15))+(F66*'5.Closing Stock &amp; W Capital'!$D$15))*$C$126*H$109</f>
        <v>0</v>
      </c>
      <c r="I126" s="96">
        <f>((H66*(1-'5.Closing Stock &amp; W Capital'!$D$15))+(G66*'5.Closing Stock &amp; W Capital'!$D$15))*$C$126*I$109</f>
        <v>0</v>
      </c>
      <c r="J126" s="96">
        <f>((I66*(1-'5.Closing Stock &amp; W Capital'!$D$15))+(H66*'5.Closing Stock &amp; W Capital'!$D$15))*$C$126*J$109</f>
        <v>0</v>
      </c>
      <c r="K126" s="94"/>
      <c r="U126" s="94"/>
      <c r="V126" s="94"/>
      <c r="W126" s="94"/>
    </row>
    <row r="127" spans="1:23">
      <c r="A127" s="95" t="str">
        <f t="shared" si="16"/>
        <v>Maize</v>
      </c>
      <c r="B127" s="95"/>
      <c r="C127" s="256">
        <v>27</v>
      </c>
      <c r="D127" s="96">
        <f>(C67*(1-'5.Closing Stock &amp; W Capital'!$D$15))*$C$127*D$109</f>
        <v>0</v>
      </c>
      <c r="E127" s="96">
        <f>((D67*(1-'5.Closing Stock &amp; W Capital'!$D$15))+(C67*'5.Closing Stock &amp; W Capital'!$D$15))*$C$127*E$109</f>
        <v>0</v>
      </c>
      <c r="F127" s="96">
        <f>((E67*(1-'5.Closing Stock &amp; W Capital'!$D$15))+(D67*'5.Closing Stock &amp; W Capital'!$D$15))*$C$127*F$109</f>
        <v>0</v>
      </c>
      <c r="G127" s="96">
        <f>((F67*(1-'5.Closing Stock &amp; W Capital'!$D$15))+(E67*'5.Closing Stock &amp; W Capital'!$D$15))*$C$127*G$109</f>
        <v>0</v>
      </c>
      <c r="H127" s="96">
        <f>((G67*(1-'5.Closing Stock &amp; W Capital'!$D$15))+(F67*'5.Closing Stock &amp; W Capital'!$D$15))*$C$127*H$109</f>
        <v>0</v>
      </c>
      <c r="I127" s="96">
        <f>((H67*(1-'5.Closing Stock &amp; W Capital'!$D$15))+(G67*'5.Closing Stock &amp; W Capital'!$D$15))*$C$127*I$109</f>
        <v>0</v>
      </c>
      <c r="J127" s="96">
        <f>((I67*(1-'5.Closing Stock &amp; W Capital'!$D$15))+(H67*'5.Closing Stock &amp; W Capital'!$D$15))*$C$127*J$109</f>
        <v>0</v>
      </c>
      <c r="K127" s="94"/>
      <c r="U127" s="94"/>
      <c r="V127" s="94"/>
      <c r="W127" s="94"/>
    </row>
    <row r="128" spans="1:23">
      <c r="A128" s="95" t="str">
        <f t="shared" si="16"/>
        <v>Safflower</v>
      </c>
      <c r="B128" s="95"/>
      <c r="C128" s="256"/>
      <c r="D128" s="96">
        <f>(C68*(1-'5.Closing Stock &amp; W Capital'!$D$15))*$C$128*D$109</f>
        <v>0</v>
      </c>
      <c r="E128" s="96">
        <f>((D68*(1-'5.Closing Stock &amp; W Capital'!$D$15))+(C68*'5.Closing Stock &amp; W Capital'!$D$15))*$C$128*E$109</f>
        <v>0</v>
      </c>
      <c r="F128" s="96">
        <f>((E68*(1-'5.Closing Stock &amp; W Capital'!$D$15))+(D68*'5.Closing Stock &amp; W Capital'!$D$15))*$C$128*F$109</f>
        <v>0</v>
      </c>
      <c r="G128" s="96">
        <f>((F68*(1-'5.Closing Stock &amp; W Capital'!$D$15))+(E68*'5.Closing Stock &amp; W Capital'!$D$15))*$C$128*G$109</f>
        <v>0</v>
      </c>
      <c r="H128" s="96">
        <f>((G68*(1-'5.Closing Stock &amp; W Capital'!$D$15))+(F68*'5.Closing Stock &amp; W Capital'!$D$15))*$C$128*H$109</f>
        <v>0</v>
      </c>
      <c r="I128" s="96">
        <f>((H68*(1-'5.Closing Stock &amp; W Capital'!$D$15))+(G68*'5.Closing Stock &amp; W Capital'!$D$15))*$C$128*I$109</f>
        <v>0</v>
      </c>
      <c r="J128" s="96">
        <f>((I68*(1-'5.Closing Stock &amp; W Capital'!$D$15))+(H68*'5.Closing Stock &amp; W Capital'!$D$15))*$C$128*J$109</f>
        <v>0</v>
      </c>
      <c r="K128" s="94"/>
      <c r="U128" s="94"/>
      <c r="V128" s="94"/>
      <c r="W128" s="94"/>
    </row>
    <row r="129" spans="1:23">
      <c r="A129" s="95">
        <f t="shared" si="16"/>
        <v>0</v>
      </c>
      <c r="B129" s="95"/>
      <c r="C129" s="256"/>
      <c r="D129" s="96">
        <f>(C69*(1-'5.Closing Stock &amp; W Capital'!$D$15))*$C$129*D$109</f>
        <v>0</v>
      </c>
      <c r="E129" s="96">
        <f>((D69*(1-'5.Closing Stock &amp; W Capital'!$D$15))+(C69*'5.Closing Stock &amp; W Capital'!$D$15))*$C$129*E$109</f>
        <v>0</v>
      </c>
      <c r="F129" s="96">
        <f>((E69*(1-'5.Closing Stock &amp; W Capital'!$D$15))+(D69*'5.Closing Stock &amp; W Capital'!$D$15))*$C$129*F$109</f>
        <v>0</v>
      </c>
      <c r="G129" s="96">
        <f>((F69*(1-'5.Closing Stock &amp; W Capital'!$D$15))+(E69*'5.Closing Stock &amp; W Capital'!$D$15))*$C$129*G$109</f>
        <v>0</v>
      </c>
      <c r="H129" s="96">
        <f>((G69*(1-'5.Closing Stock &amp; W Capital'!$D$15))+(F69*'5.Closing Stock &amp; W Capital'!$D$15))*$C$129*H$109</f>
        <v>0</v>
      </c>
      <c r="I129" s="96">
        <f>((H69*(1-'5.Closing Stock &amp; W Capital'!$D$15))+(G69*'5.Closing Stock &amp; W Capital'!$D$15))*$C$129*I$109</f>
        <v>0</v>
      </c>
      <c r="J129" s="96">
        <f>((I69*(1-'5.Closing Stock &amp; W Capital'!$D$15))+(H69*'5.Closing Stock &amp; W Capital'!$D$15))*$C$129*J$109</f>
        <v>0</v>
      </c>
      <c r="K129" s="94"/>
      <c r="U129" s="94"/>
      <c r="V129" s="94"/>
      <c r="W129" s="94"/>
    </row>
    <row r="130" spans="1:23">
      <c r="A130" s="95">
        <f t="shared" si="16"/>
        <v>0</v>
      </c>
      <c r="B130" s="95"/>
      <c r="C130" s="256"/>
      <c r="D130" s="96">
        <f>(C70*(1-'5.Closing Stock &amp; W Capital'!$D$15))*$C$130*D$109</f>
        <v>0</v>
      </c>
      <c r="E130" s="96">
        <f>((D70*(1-'5.Closing Stock &amp; W Capital'!$D$15))+(C70*'5.Closing Stock &amp; W Capital'!$D$15))*$C$130*E$109</f>
        <v>0</v>
      </c>
      <c r="F130" s="96">
        <f>((E70*(1-'5.Closing Stock &amp; W Capital'!$D$15))+(D70*'5.Closing Stock &amp; W Capital'!$D$15))*$C$130*F$109</f>
        <v>0</v>
      </c>
      <c r="G130" s="96">
        <f>((F70*(1-'5.Closing Stock &amp; W Capital'!$D$15))+(E70*'5.Closing Stock &amp; W Capital'!$D$15))*$C$130*G$109</f>
        <v>0</v>
      </c>
      <c r="H130" s="96">
        <f>((G70*(1-'5.Closing Stock &amp; W Capital'!$D$15))+(F70*'5.Closing Stock &amp; W Capital'!$D$15))*$C$130*H$109</f>
        <v>0</v>
      </c>
      <c r="I130" s="96">
        <f>((H70*(1-'5.Closing Stock &amp; W Capital'!$D$15))+(G70*'5.Closing Stock &amp; W Capital'!$D$15))*$C$130*I$109</f>
        <v>0</v>
      </c>
      <c r="J130" s="96">
        <f>((I70*(1-'5.Closing Stock &amp; W Capital'!$D$15))+(H70*'5.Closing Stock &amp; W Capital'!$D$15))*$C$130*J$109</f>
        <v>0</v>
      </c>
      <c r="K130" s="94"/>
      <c r="U130" s="94"/>
      <c r="V130" s="94"/>
      <c r="W130" s="94"/>
    </row>
    <row r="131" spans="1:23">
      <c r="A131" s="95">
        <f t="shared" si="16"/>
        <v>0</v>
      </c>
      <c r="B131" s="95"/>
      <c r="C131" s="256"/>
      <c r="D131" s="96">
        <f>(C71*(1-'5.Closing Stock &amp; W Capital'!$D$15))*$C$131*D$109</f>
        <v>0</v>
      </c>
      <c r="E131" s="96">
        <f>((D71*(1-'5.Closing Stock &amp; W Capital'!$D$15))+(C71*'5.Closing Stock &amp; W Capital'!$D$15))*$C$131*E$109</f>
        <v>0</v>
      </c>
      <c r="F131" s="96">
        <f>((E71*(1-'5.Closing Stock &amp; W Capital'!$D$15))+(D71*'5.Closing Stock &amp; W Capital'!$D$15))*$C$131*F$109</f>
        <v>0</v>
      </c>
      <c r="G131" s="96">
        <f>((F71*(1-'5.Closing Stock &amp; W Capital'!$D$15))+(E71*'5.Closing Stock &amp; W Capital'!$D$15))*$C$131*G$109</f>
        <v>0</v>
      </c>
      <c r="H131" s="96">
        <f>((G71*(1-'5.Closing Stock &amp; W Capital'!$D$15))+(F71*'5.Closing Stock &amp; W Capital'!$D$15))*$C$131*H$109</f>
        <v>0</v>
      </c>
      <c r="I131" s="96">
        <f>((H71*(1-'5.Closing Stock &amp; W Capital'!$D$15))+(G71*'5.Closing Stock &amp; W Capital'!$D$15))*$C$131*I$109</f>
        <v>0</v>
      </c>
      <c r="J131" s="96">
        <f>((I71*(1-'5.Closing Stock &amp; W Capital'!$D$15))+(H71*'5.Closing Stock &amp; W Capital'!$D$15))*$C$131*J$109</f>
        <v>0</v>
      </c>
      <c r="K131" s="94"/>
      <c r="U131" s="94"/>
      <c r="V131" s="94"/>
      <c r="W131" s="94"/>
    </row>
    <row r="132" spans="1:23">
      <c r="A132" s="97" t="str">
        <f t="shared" si="16"/>
        <v>Summer</v>
      </c>
      <c r="B132" s="95"/>
      <c r="C132" s="256"/>
      <c r="D132" s="96"/>
      <c r="E132" s="96"/>
      <c r="F132" s="96"/>
      <c r="G132" s="96"/>
      <c r="H132" s="96"/>
      <c r="I132" s="96"/>
      <c r="J132" s="96"/>
      <c r="K132" s="94"/>
      <c r="U132" s="94"/>
      <c r="V132" s="94"/>
      <c r="W132" s="94"/>
    </row>
    <row r="133" spans="1:23">
      <c r="A133" s="95" t="str">
        <f t="shared" si="16"/>
        <v>Groundnut</v>
      </c>
      <c r="B133" s="95"/>
      <c r="C133" s="256"/>
      <c r="D133" s="96">
        <f>(C73*(1-'5.Closing Stock &amp; W Capital'!$D$15))*$C$133*D$109</f>
        <v>0</v>
      </c>
      <c r="E133" s="96">
        <f>((D73*(1-'5.Closing Stock &amp; W Capital'!$D$15))+(C73*'5.Closing Stock &amp; W Capital'!$D$15))*$C$133*E$109</f>
        <v>0</v>
      </c>
      <c r="F133" s="96">
        <f>((E73*(1-'5.Closing Stock &amp; W Capital'!$D$15))+(D73*'5.Closing Stock &amp; W Capital'!$D$15))*$C$133*F$109</f>
        <v>0</v>
      </c>
      <c r="G133" s="96">
        <f>((F73*(1-'5.Closing Stock &amp; W Capital'!$D$15))+(E73*'5.Closing Stock &amp; W Capital'!$D$15))*$C$133*G$109</f>
        <v>0</v>
      </c>
      <c r="H133" s="96">
        <f>((G73*(1-'5.Closing Stock &amp; W Capital'!$D$15))+(F73*'5.Closing Stock &amp; W Capital'!$D$15))*$C$133*H$109</f>
        <v>0</v>
      </c>
      <c r="I133" s="96">
        <f>((H73*(1-'5.Closing Stock &amp; W Capital'!$D$15))+(G73*'5.Closing Stock &amp; W Capital'!$D$15))*$C$133*I$109</f>
        <v>0</v>
      </c>
      <c r="J133" s="96">
        <f>((I73*(1-'5.Closing Stock &amp; W Capital'!$D$15))+(H73*'5.Closing Stock &amp; W Capital'!$D$15))*$C$133*J$109</f>
        <v>0</v>
      </c>
      <c r="K133" s="94"/>
      <c r="U133" s="94"/>
      <c r="V133" s="94"/>
      <c r="W133" s="94"/>
    </row>
    <row r="134" spans="1:23">
      <c r="A134" s="95">
        <f t="shared" si="16"/>
        <v>0</v>
      </c>
      <c r="B134" s="95"/>
      <c r="C134" s="256"/>
      <c r="D134" s="96">
        <f>(C74*(1-'5.Closing Stock &amp; W Capital'!$D$15))*$C$134*D$109</f>
        <v>0</v>
      </c>
      <c r="E134" s="96">
        <f>((D74*(1-'5.Closing Stock &amp; W Capital'!$D$15))+(C74*'5.Closing Stock &amp; W Capital'!$D$15))*$C$134*E$109</f>
        <v>0</v>
      </c>
      <c r="F134" s="96">
        <f>((E74*(1-'5.Closing Stock &amp; W Capital'!$D$15))+(D74*'5.Closing Stock &amp; W Capital'!$D$15))*$C$134*F$109</f>
        <v>0</v>
      </c>
      <c r="G134" s="96">
        <f>((F74*(1-'5.Closing Stock &amp; W Capital'!$D$15))+(E74*'5.Closing Stock &amp; W Capital'!$D$15))*$C$134*G$109</f>
        <v>0</v>
      </c>
      <c r="H134" s="96">
        <f>((G74*(1-'5.Closing Stock &amp; W Capital'!$D$15))+(F74*'5.Closing Stock &amp; W Capital'!$D$15))*$C$134*H$109</f>
        <v>0</v>
      </c>
      <c r="I134" s="96">
        <f>((H74*(1-'5.Closing Stock &amp; W Capital'!$D$15))+(G74*'5.Closing Stock &amp; W Capital'!$D$15))*$C$134*I$109</f>
        <v>0</v>
      </c>
      <c r="J134" s="96">
        <f>((I74*(1-'5.Closing Stock &amp; W Capital'!$D$15))+(H74*'5.Closing Stock &amp; W Capital'!$D$15))*$C$134*J$109</f>
        <v>0</v>
      </c>
      <c r="K134" s="94"/>
      <c r="U134" s="94"/>
      <c r="V134" s="94"/>
      <c r="W134" s="94"/>
    </row>
    <row r="135" spans="1:23">
      <c r="A135" s="95">
        <f t="shared" si="16"/>
        <v>0</v>
      </c>
      <c r="B135" s="95"/>
      <c r="C135" s="256"/>
      <c r="D135" s="96">
        <f>(C75*(1-'5.Closing Stock &amp; W Capital'!$D$15))*$C$135*D$109</f>
        <v>0</v>
      </c>
      <c r="E135" s="96">
        <f>((D75*(1-'5.Closing Stock &amp; W Capital'!$D$15))+(C75*'5.Closing Stock &amp; W Capital'!$D$15))*$C$135*E$109</f>
        <v>0</v>
      </c>
      <c r="F135" s="96">
        <f>((E75*(1-'5.Closing Stock &amp; W Capital'!$D$15))+(D75*'5.Closing Stock &amp; W Capital'!$D$15))*$C$135*F$109</f>
        <v>0</v>
      </c>
      <c r="G135" s="96">
        <f>((F75*(1-'5.Closing Stock &amp; W Capital'!$D$15))+(E75*'5.Closing Stock &amp; W Capital'!$D$15))*$C$135*G$109</f>
        <v>0</v>
      </c>
      <c r="H135" s="96">
        <f>((G75*(1-'5.Closing Stock &amp; W Capital'!$D$15))+(F75*'5.Closing Stock &amp; W Capital'!$D$15))*$C$135*H$109</f>
        <v>0</v>
      </c>
      <c r="I135" s="96">
        <f>((H75*(1-'5.Closing Stock &amp; W Capital'!$D$15))+(G75*'5.Closing Stock &amp; W Capital'!$D$15))*$C$135*I$109</f>
        <v>0</v>
      </c>
      <c r="J135" s="96">
        <f>((I75*(1-'5.Closing Stock &amp; W Capital'!$D$15))+(H75*'5.Closing Stock &amp; W Capital'!$D$15))*$C$135*J$109</f>
        <v>0</v>
      </c>
      <c r="K135" s="94"/>
      <c r="U135" s="94"/>
      <c r="V135" s="94"/>
      <c r="W135" s="94"/>
    </row>
    <row r="136" spans="1:23">
      <c r="A136" s="95">
        <f t="shared" si="16"/>
        <v>0</v>
      </c>
      <c r="B136" s="95"/>
      <c r="C136" s="256"/>
      <c r="D136" s="96">
        <f>(C76*(1-'5.Closing Stock &amp; W Capital'!$D$15))*$C$136*D$109</f>
        <v>0</v>
      </c>
      <c r="E136" s="96">
        <f>((D76*(1-'5.Closing Stock &amp; W Capital'!$D$15))+(C76*'5.Closing Stock &amp; W Capital'!$D$15))*$C$136*E$109</f>
        <v>0</v>
      </c>
      <c r="F136" s="96">
        <f>((E76*(1-'5.Closing Stock &amp; W Capital'!$D$15))+(D76*'5.Closing Stock &amp; W Capital'!$D$15))*$C$136*F$109</f>
        <v>0</v>
      </c>
      <c r="G136" s="96">
        <f>((F76*(1-'5.Closing Stock &amp; W Capital'!$D$15))+(E76*'5.Closing Stock &amp; W Capital'!$D$15))*$C$136*G$109</f>
        <v>0</v>
      </c>
      <c r="H136" s="96">
        <f>((G76*(1-'5.Closing Stock &amp; W Capital'!$D$15))+(F76*'5.Closing Stock &amp; W Capital'!$D$15))*$C$136*H$109</f>
        <v>0</v>
      </c>
      <c r="I136" s="96">
        <f>((H76*(1-'5.Closing Stock &amp; W Capital'!$D$15))+(G76*'5.Closing Stock &amp; W Capital'!$D$15))*$C$136*I$109</f>
        <v>0</v>
      </c>
      <c r="J136" s="96">
        <f>((I76*(1-'5.Closing Stock &amp; W Capital'!$D$15))+(H76*'5.Closing Stock &amp; W Capital'!$D$15))*$C$136*J$109</f>
        <v>0</v>
      </c>
      <c r="K136" s="94"/>
      <c r="U136" s="94"/>
      <c r="V136" s="94"/>
      <c r="W136" s="94"/>
    </row>
    <row r="137" spans="1:23">
      <c r="A137" s="95">
        <f t="shared" si="16"/>
        <v>0</v>
      </c>
      <c r="B137" s="95"/>
      <c r="C137" s="256"/>
      <c r="D137" s="96">
        <f>(C77*(1-'5.Closing Stock &amp; W Capital'!$D$15))*$C$137*D$109</f>
        <v>0</v>
      </c>
      <c r="E137" s="96">
        <f>((D77*(1-'5.Closing Stock &amp; W Capital'!$D$15))+(C77*'5.Closing Stock &amp; W Capital'!$D$15))*$C$137*E$109</f>
        <v>0</v>
      </c>
      <c r="F137" s="96">
        <f>((E77*(1-'5.Closing Stock &amp; W Capital'!$D$15))+(D77*'5.Closing Stock &amp; W Capital'!$D$15))*$C$137*F$109</f>
        <v>0</v>
      </c>
      <c r="G137" s="96">
        <f>((F77*(1-'5.Closing Stock &amp; W Capital'!$D$15))+(E77*'5.Closing Stock &amp; W Capital'!$D$15))*$C$137*G$109</f>
        <v>0</v>
      </c>
      <c r="H137" s="96">
        <f>((G77*(1-'5.Closing Stock &amp; W Capital'!$D$15))+(F77*'5.Closing Stock &amp; W Capital'!$D$15))*$C$137*H$109</f>
        <v>0</v>
      </c>
      <c r="I137" s="96">
        <f>((H77*(1-'5.Closing Stock &amp; W Capital'!$D$15))+(G77*'5.Closing Stock &amp; W Capital'!$D$15))*$C$137*I$109</f>
        <v>0</v>
      </c>
      <c r="J137" s="96">
        <f>((I77*(1-'5.Closing Stock &amp; W Capital'!$D$15))+(H77*'5.Closing Stock &amp; W Capital'!$D$15))*$C$137*J$109</f>
        <v>0</v>
      </c>
      <c r="K137" s="94"/>
      <c r="U137" s="94"/>
      <c r="V137" s="94"/>
      <c r="W137" s="94"/>
    </row>
    <row r="138" spans="1:23">
      <c r="A138" s="95" t="str">
        <f t="shared" si="16"/>
        <v>Fruit  &amp; Vegetables Crop Production Details</v>
      </c>
      <c r="B138" s="95"/>
      <c r="C138" s="256"/>
      <c r="D138" s="96"/>
      <c r="E138" s="96"/>
      <c r="F138" s="96"/>
      <c r="G138" s="96"/>
      <c r="H138" s="96"/>
      <c r="I138" s="96"/>
      <c r="J138" s="96"/>
      <c r="K138" s="94"/>
      <c r="U138" s="94"/>
      <c r="V138" s="94"/>
      <c r="W138" s="94"/>
    </row>
    <row r="139" spans="1:23">
      <c r="A139" s="95">
        <f t="shared" si="16"/>
        <v>0</v>
      </c>
      <c r="B139" s="95"/>
      <c r="C139" s="256"/>
      <c r="D139" s="96">
        <f>(C79*(1-'5.Closing Stock &amp; W Capital'!$D$15))*$C139*D$109</f>
        <v>0</v>
      </c>
      <c r="E139" s="96">
        <f>((D79*(1-'5.Closing Stock &amp; W Capital'!$D$15))+(C79*'5.Closing Stock &amp; W Capital'!$D$15))*$C139*E$109</f>
        <v>0</v>
      </c>
      <c r="F139" s="96">
        <f>((E79*(1-'5.Closing Stock &amp; W Capital'!$D$15))+(D79*'5.Closing Stock &amp; W Capital'!$D$15))*$C$137*F$109</f>
        <v>0</v>
      </c>
      <c r="G139" s="96">
        <f>((F79*(1-'5.Closing Stock &amp; W Capital'!$D$15))+(E79*'5.Closing Stock &amp; W Capital'!$D$15))*$C$137*G$109</f>
        <v>0</v>
      </c>
      <c r="H139" s="96">
        <f>((G79*(1-'5.Closing Stock &amp; W Capital'!$D$15))+(F79*'5.Closing Stock &amp; W Capital'!$D$15))*$C$137*H$109</f>
        <v>0</v>
      </c>
      <c r="I139" s="96">
        <f>((H79*(1-'5.Closing Stock &amp; W Capital'!$D$15))+(G79*'5.Closing Stock &amp; W Capital'!$D$15))*$C$137*I$109</f>
        <v>0</v>
      </c>
      <c r="J139" s="96">
        <f>((I79*(1-'5.Closing Stock &amp; W Capital'!$D$15))+(H79*'5.Closing Stock &amp; W Capital'!$D$15))*$C$137*J$109</f>
        <v>0</v>
      </c>
      <c r="K139" s="94"/>
      <c r="U139" s="94"/>
      <c r="V139" s="94"/>
      <c r="W139" s="94"/>
    </row>
    <row r="140" spans="1:23">
      <c r="A140" s="95">
        <f t="shared" si="16"/>
        <v>0</v>
      </c>
      <c r="B140" s="95"/>
      <c r="C140" s="256"/>
      <c r="D140" s="96">
        <f>(C80*(1-'5.Closing Stock &amp; W Capital'!$D$15))*$C140*D$109</f>
        <v>0</v>
      </c>
      <c r="E140" s="96">
        <f>((D80*(1-'5.Closing Stock &amp; W Capital'!$D$15))+(C80*'5.Closing Stock &amp; W Capital'!$D$15))*$C140*E$109</f>
        <v>0</v>
      </c>
      <c r="F140" s="96">
        <f>((E80*(1-'5.Closing Stock &amp; W Capital'!$D$15))+(D80*'5.Closing Stock &amp; W Capital'!$D$15))*$C$137*F$109</f>
        <v>0</v>
      </c>
      <c r="G140" s="96">
        <f>((F80*(1-'5.Closing Stock &amp; W Capital'!$D$15))+(E80*'5.Closing Stock &amp; W Capital'!$D$15))*$C$137*G$109</f>
        <v>0</v>
      </c>
      <c r="H140" s="96">
        <f>((G80*(1-'5.Closing Stock &amp; W Capital'!$D$15))+(F80*'5.Closing Stock &amp; W Capital'!$D$15))*$C$137*H$109</f>
        <v>0</v>
      </c>
      <c r="I140" s="96">
        <f>((H80*(1-'5.Closing Stock &amp; W Capital'!$D$15))+(G80*'5.Closing Stock &amp; W Capital'!$D$15))*$C$137*I$109</f>
        <v>0</v>
      </c>
      <c r="J140" s="96">
        <f>((I80*(1-'5.Closing Stock &amp; W Capital'!$D$15))+(H80*'5.Closing Stock &amp; W Capital'!$D$15))*$C$137*J$109</f>
        <v>0</v>
      </c>
      <c r="K140" s="94"/>
      <c r="U140" s="94"/>
      <c r="V140" s="94"/>
      <c r="W140" s="94"/>
    </row>
    <row r="141" spans="1:23">
      <c r="A141" s="95">
        <f t="shared" si="16"/>
        <v>0</v>
      </c>
      <c r="B141" s="95"/>
      <c r="C141" s="256"/>
      <c r="D141" s="96">
        <f>(C81*(1-'5.Closing Stock &amp; W Capital'!$D$15))*$C141*D$109</f>
        <v>0</v>
      </c>
      <c r="E141" s="96">
        <f>((D81*(1-'5.Closing Stock &amp; W Capital'!$D$15))+(C81*'5.Closing Stock &amp; W Capital'!$D$15))*$C141*E$109</f>
        <v>0</v>
      </c>
      <c r="F141" s="96">
        <f>((E81*(1-'5.Closing Stock &amp; W Capital'!$D$15))+(D81*'5.Closing Stock &amp; W Capital'!$D$15))*$C$137*F$109</f>
        <v>0</v>
      </c>
      <c r="G141" s="96">
        <f>((F81*(1-'5.Closing Stock &amp; W Capital'!$D$15))+(E81*'5.Closing Stock &amp; W Capital'!$D$15))*$C$137*G$109</f>
        <v>0</v>
      </c>
      <c r="H141" s="96">
        <f>((G81*(1-'5.Closing Stock &amp; W Capital'!$D$15))+(F81*'5.Closing Stock &amp; W Capital'!$D$15))*$C$137*H$109</f>
        <v>0</v>
      </c>
      <c r="I141" s="96">
        <f>((H81*(1-'5.Closing Stock &amp; W Capital'!$D$15))+(G81*'5.Closing Stock &amp; W Capital'!$D$15))*$C$137*I$109</f>
        <v>0</v>
      </c>
      <c r="J141" s="96">
        <f>((I81*(1-'5.Closing Stock &amp; W Capital'!$D$15))+(H81*'5.Closing Stock &amp; W Capital'!$D$15))*$C$137*J$109</f>
        <v>0</v>
      </c>
      <c r="K141" s="94"/>
      <c r="U141" s="94"/>
      <c r="V141" s="94"/>
      <c r="W141" s="94"/>
    </row>
    <row r="142" spans="1:23">
      <c r="A142" s="95">
        <f t="shared" si="16"/>
        <v>0</v>
      </c>
      <c r="B142" s="95"/>
      <c r="C142" s="256"/>
      <c r="D142" s="96">
        <f>(C82*(1-'5.Closing Stock &amp; W Capital'!$D$15))*$C142*D$109</f>
        <v>0</v>
      </c>
      <c r="E142" s="96">
        <f>((D82*(1-'5.Closing Stock &amp; W Capital'!$D$15))+(C82*'5.Closing Stock &amp; W Capital'!$D$15))*$C142*E$109</f>
        <v>0</v>
      </c>
      <c r="F142" s="96">
        <f>((E82*(1-'5.Closing Stock &amp; W Capital'!$D$15))+(D82*'5.Closing Stock &amp; W Capital'!$D$15))*$C$137*F$109</f>
        <v>0</v>
      </c>
      <c r="G142" s="96">
        <f>((F82*(1-'5.Closing Stock &amp; W Capital'!$D$15))+(E82*'5.Closing Stock &amp; W Capital'!$D$15))*$C$137*G$109</f>
        <v>0</v>
      </c>
      <c r="H142" s="96">
        <f>((G82*(1-'5.Closing Stock &amp; W Capital'!$D$15))+(F82*'5.Closing Stock &amp; W Capital'!$D$15))*$C$137*H$109</f>
        <v>0</v>
      </c>
      <c r="I142" s="96">
        <f>((H82*(1-'5.Closing Stock &amp; W Capital'!$D$15))+(G82*'5.Closing Stock &amp; W Capital'!$D$15))*$C$137*I$109</f>
        <v>0</v>
      </c>
      <c r="J142" s="96">
        <f>((I82*(1-'5.Closing Stock &amp; W Capital'!$D$15))+(H82*'5.Closing Stock &amp; W Capital'!$D$15))*$C$137*J$109</f>
        <v>0</v>
      </c>
      <c r="K142" s="94"/>
      <c r="U142" s="94"/>
      <c r="V142" s="94"/>
      <c r="W142" s="94"/>
    </row>
    <row r="143" spans="1:23">
      <c r="A143" s="95">
        <f t="shared" si="16"/>
        <v>0</v>
      </c>
      <c r="B143" s="95"/>
      <c r="C143" s="256"/>
      <c r="D143" s="96">
        <f>(C83*(1-'5.Closing Stock &amp; W Capital'!$D$15))*$C143*D$109</f>
        <v>0</v>
      </c>
      <c r="E143" s="96">
        <f>((D83*(1-'5.Closing Stock &amp; W Capital'!$D$15))+(C83*'5.Closing Stock &amp; W Capital'!$D$15))*$C143*E$109</f>
        <v>0</v>
      </c>
      <c r="F143" s="96">
        <f>((E83*(1-'5.Closing Stock &amp; W Capital'!$D$15))+(D83*'5.Closing Stock &amp; W Capital'!$D$15))*$C$137*F$109</f>
        <v>0</v>
      </c>
      <c r="G143" s="96">
        <f>((F83*(1-'5.Closing Stock &amp; W Capital'!$D$15))+(E83*'5.Closing Stock &amp; W Capital'!$D$15))*$C$137*G$109</f>
        <v>0</v>
      </c>
      <c r="H143" s="96">
        <f>((G83*(1-'5.Closing Stock &amp; W Capital'!$D$15))+(F83*'5.Closing Stock &amp; W Capital'!$D$15))*$C$137*H$109</f>
        <v>0</v>
      </c>
      <c r="I143" s="96">
        <f>((H83*(1-'5.Closing Stock &amp; W Capital'!$D$15))+(G83*'5.Closing Stock &amp; W Capital'!$D$15))*$C$137*I$109</f>
        <v>0</v>
      </c>
      <c r="J143" s="96">
        <f>((I83*(1-'5.Closing Stock &amp; W Capital'!$D$15))+(H83*'5.Closing Stock &amp; W Capital'!$D$15))*$C$137*J$109</f>
        <v>0</v>
      </c>
      <c r="K143" s="94"/>
      <c r="U143" s="94"/>
      <c r="V143" s="94"/>
      <c r="W143" s="94"/>
    </row>
    <row r="144" spans="1:23">
      <c r="A144" s="95">
        <f t="shared" si="16"/>
        <v>0</v>
      </c>
      <c r="B144" s="95"/>
      <c r="C144" s="256"/>
      <c r="D144" s="96">
        <f>(C84*(1-'5.Closing Stock &amp; W Capital'!$D$15))*$C144*D$109</f>
        <v>0</v>
      </c>
      <c r="E144" s="96">
        <f>((D84*(1-'5.Closing Stock &amp; W Capital'!$D$15))+(C84*'5.Closing Stock &amp; W Capital'!$D$15))*$C144*E$109</f>
        <v>0</v>
      </c>
      <c r="F144" s="96">
        <f>((E84*(1-'5.Closing Stock &amp; W Capital'!$D$15))+(D84*'5.Closing Stock &amp; W Capital'!$D$15))*$C$137*F$109</f>
        <v>0</v>
      </c>
      <c r="G144" s="96">
        <f>((F84*(1-'5.Closing Stock &amp; W Capital'!$D$15))+(E84*'5.Closing Stock &amp; W Capital'!$D$15))*$C$137*G$109</f>
        <v>0</v>
      </c>
      <c r="H144" s="96">
        <f>((G84*(1-'5.Closing Stock &amp; W Capital'!$D$15))+(F84*'5.Closing Stock &amp; W Capital'!$D$15))*$C$137*H$109</f>
        <v>0</v>
      </c>
      <c r="I144" s="96">
        <f>((H84*(1-'5.Closing Stock &amp; W Capital'!$D$15))+(G84*'5.Closing Stock &amp; W Capital'!$D$15))*$C$137*I$109</f>
        <v>0</v>
      </c>
      <c r="J144" s="96">
        <f>((I84*(1-'5.Closing Stock &amp; W Capital'!$D$15))+(H84*'5.Closing Stock &amp; W Capital'!$D$15))*$C$137*J$109</f>
        <v>0</v>
      </c>
      <c r="K144" s="94"/>
      <c r="U144" s="94"/>
      <c r="V144" s="94"/>
      <c r="W144" s="94"/>
    </row>
    <row r="145" spans="1:23">
      <c r="A145" s="95">
        <f t="shared" si="16"/>
        <v>0</v>
      </c>
      <c r="B145" s="95"/>
      <c r="C145" s="256"/>
      <c r="D145" s="96">
        <f>(C85*(1-'5.Closing Stock &amp; W Capital'!$D$15))*$C145*D$109</f>
        <v>0</v>
      </c>
      <c r="E145" s="96">
        <f>((D85*(1-'5.Closing Stock &amp; W Capital'!$D$15))+(C85*'5.Closing Stock &amp; W Capital'!$D$15))*$C145*E$109</f>
        <v>0</v>
      </c>
      <c r="F145" s="96">
        <f>((E85*(1-'5.Closing Stock &amp; W Capital'!$D$15))+(D85*'5.Closing Stock &amp; W Capital'!$D$15))*$C$137*F$109</f>
        <v>0</v>
      </c>
      <c r="G145" s="96">
        <f>((F85*(1-'5.Closing Stock &amp; W Capital'!$D$15))+(E85*'5.Closing Stock &amp; W Capital'!$D$15))*$C$137*G$109</f>
        <v>0</v>
      </c>
      <c r="H145" s="96">
        <f>((G85*(1-'5.Closing Stock &amp; W Capital'!$D$15))+(F85*'5.Closing Stock &amp; W Capital'!$D$15))*$C$137*H$109</f>
        <v>0</v>
      </c>
      <c r="I145" s="96">
        <f>((H85*(1-'5.Closing Stock &amp; W Capital'!$D$15))+(G85*'5.Closing Stock &amp; W Capital'!$D$15))*$C$137*I$109</f>
        <v>0</v>
      </c>
      <c r="J145" s="96">
        <f>((I85*(1-'5.Closing Stock &amp; W Capital'!$D$15))+(H85*'5.Closing Stock &amp; W Capital'!$D$15))*$C$137*J$109</f>
        <v>0</v>
      </c>
      <c r="K145" s="94"/>
      <c r="U145" s="94"/>
      <c r="V145" s="94"/>
      <c r="W145" s="94"/>
    </row>
    <row r="146" spans="1:23">
      <c r="A146" s="95">
        <f t="shared" si="16"/>
        <v>0</v>
      </c>
      <c r="B146" s="95"/>
      <c r="C146" s="256"/>
      <c r="D146" s="96">
        <f>(C86*(1-'5.Closing Stock &amp; W Capital'!$D$15))*$C146*D$109</f>
        <v>0</v>
      </c>
      <c r="E146" s="96">
        <f>((D86*(1-'5.Closing Stock &amp; W Capital'!$D$15))+(C86*'5.Closing Stock &amp; W Capital'!$D$15))*$C146*E$109</f>
        <v>0</v>
      </c>
      <c r="F146" s="96">
        <f>((E86*(1-'5.Closing Stock &amp; W Capital'!$D$15))+(D86*'5.Closing Stock &amp; W Capital'!$D$15))*$C$137*F$109</f>
        <v>0</v>
      </c>
      <c r="G146" s="96">
        <f>((F86*(1-'5.Closing Stock &amp; W Capital'!$D$15))+(E86*'5.Closing Stock &amp; W Capital'!$D$15))*$C$137*G$109</f>
        <v>0</v>
      </c>
      <c r="H146" s="96">
        <f>((G86*(1-'5.Closing Stock &amp; W Capital'!$D$15))+(F86*'5.Closing Stock &amp; W Capital'!$D$15))*$C$137*H$109</f>
        <v>0</v>
      </c>
      <c r="I146" s="96">
        <f>((H86*(1-'5.Closing Stock &amp; W Capital'!$D$15))+(G86*'5.Closing Stock &amp; W Capital'!$D$15))*$C$137*I$109</f>
        <v>0</v>
      </c>
      <c r="J146" s="96">
        <f>((I86*(1-'5.Closing Stock &amp; W Capital'!$D$15))+(H86*'5.Closing Stock &amp; W Capital'!$D$15))*$C$137*J$109</f>
        <v>0</v>
      </c>
      <c r="K146" s="94"/>
      <c r="U146" s="94"/>
      <c r="V146" s="94"/>
      <c r="W146" s="94"/>
    </row>
    <row r="147" spans="1:23">
      <c r="A147" s="95">
        <f t="shared" si="16"/>
        <v>0</v>
      </c>
      <c r="B147" s="95"/>
      <c r="C147" s="256"/>
      <c r="D147" s="96">
        <f>(C87*(1-'5.Closing Stock &amp; W Capital'!$D$15))*$C147*D$109</f>
        <v>0</v>
      </c>
      <c r="E147" s="96">
        <f>((D87*(1-'5.Closing Stock &amp; W Capital'!$D$15))+(C87*'5.Closing Stock &amp; W Capital'!$D$15))*$C147*E$109</f>
        <v>0</v>
      </c>
      <c r="F147" s="96">
        <f>((E87*(1-'5.Closing Stock &amp; W Capital'!$D$15))+(D87*'5.Closing Stock &amp; W Capital'!$D$15))*$C$137*F$109</f>
        <v>0</v>
      </c>
      <c r="G147" s="96">
        <f>((F87*(1-'5.Closing Stock &amp; W Capital'!$D$15))+(E87*'5.Closing Stock &amp; W Capital'!$D$15))*$C$137*G$109</f>
        <v>0</v>
      </c>
      <c r="H147" s="96">
        <f>((G87*(1-'5.Closing Stock &amp; W Capital'!$D$15))+(F87*'5.Closing Stock &amp; W Capital'!$D$15))*$C$137*H$109</f>
        <v>0</v>
      </c>
      <c r="I147" s="96">
        <f>((H87*(1-'5.Closing Stock &amp; W Capital'!$D$15))+(G87*'5.Closing Stock &amp; W Capital'!$D$15))*$C$137*I$109</f>
        <v>0</v>
      </c>
      <c r="J147" s="96">
        <f>((I87*(1-'5.Closing Stock &amp; W Capital'!$D$15))+(H87*'5.Closing Stock &amp; W Capital'!$D$15))*$C$137*J$109</f>
        <v>0</v>
      </c>
      <c r="K147" s="94"/>
      <c r="U147" s="94"/>
      <c r="V147" s="94"/>
      <c r="W147" s="94"/>
    </row>
    <row r="148" spans="1:23">
      <c r="A148" s="95">
        <f t="shared" si="16"/>
        <v>0</v>
      </c>
      <c r="B148" s="95"/>
      <c r="C148" s="256"/>
      <c r="D148" s="96">
        <f>(C88*(1-'5.Closing Stock &amp; W Capital'!$D$15))*$C148*D$109</f>
        <v>0</v>
      </c>
      <c r="E148" s="96">
        <f>((D88*(1-'5.Closing Stock &amp; W Capital'!$D$15))+(C88*'5.Closing Stock &amp; W Capital'!$D$15))*$C148*E$109</f>
        <v>0</v>
      </c>
      <c r="F148" s="96">
        <f>((E88*(1-'5.Closing Stock &amp; W Capital'!$D$15))+(D88*'5.Closing Stock &amp; W Capital'!$D$15))*$C$137*F$109</f>
        <v>0</v>
      </c>
      <c r="G148" s="96">
        <f>((F88*(1-'5.Closing Stock &amp; W Capital'!$D$15))+(E88*'5.Closing Stock &amp; W Capital'!$D$15))*$C$137*G$109</f>
        <v>0</v>
      </c>
      <c r="H148" s="96">
        <f>((G88*(1-'5.Closing Stock &amp; W Capital'!$D$15))+(F88*'5.Closing Stock &amp; W Capital'!$D$15))*$C$137*H$109</f>
        <v>0</v>
      </c>
      <c r="I148" s="96">
        <f>((H88*(1-'5.Closing Stock &amp; W Capital'!$D$15))+(G88*'5.Closing Stock &amp; W Capital'!$D$15))*$C$137*I$109</f>
        <v>0</v>
      </c>
      <c r="J148" s="96">
        <f>((I88*(1-'5.Closing Stock &amp; W Capital'!$D$15))+(H88*'5.Closing Stock &amp; W Capital'!$D$15))*$C$137*J$109</f>
        <v>0</v>
      </c>
      <c r="K148" s="94"/>
      <c r="U148" s="94"/>
      <c r="V148" s="94"/>
      <c r="W148" s="94"/>
    </row>
    <row r="149" spans="1:23">
      <c r="A149" s="95">
        <f t="shared" si="16"/>
        <v>0</v>
      </c>
      <c r="B149" s="95"/>
      <c r="C149" s="256"/>
      <c r="D149" s="96">
        <f>(C89*(1-'5.Closing Stock &amp; W Capital'!$D$15))*$C149*D$109</f>
        <v>0</v>
      </c>
      <c r="E149" s="96">
        <f>((D89*(1-'5.Closing Stock &amp; W Capital'!$D$15))+(C89*'5.Closing Stock &amp; W Capital'!$D$15))*$C149*E$109</f>
        <v>0</v>
      </c>
      <c r="F149" s="96">
        <f>((E89*(1-'5.Closing Stock &amp; W Capital'!$D$15))+(D89*'5.Closing Stock &amp; W Capital'!$D$15))*$C$137*F$109</f>
        <v>0</v>
      </c>
      <c r="G149" s="96">
        <f>((F89*(1-'5.Closing Stock &amp; W Capital'!$D$15))+(E89*'5.Closing Stock &amp; W Capital'!$D$15))*$C$137*G$109</f>
        <v>0</v>
      </c>
      <c r="H149" s="96">
        <f>((G89*(1-'5.Closing Stock &amp; W Capital'!$D$15))+(F89*'5.Closing Stock &amp; W Capital'!$D$15))*$C$137*H$109</f>
        <v>0</v>
      </c>
      <c r="I149" s="96">
        <f>((H89*(1-'5.Closing Stock &amp; W Capital'!$D$15))+(G89*'5.Closing Stock &amp; W Capital'!$D$15))*$C$137*I$109</f>
        <v>0</v>
      </c>
      <c r="J149" s="96">
        <f>((I89*(1-'5.Closing Stock &amp; W Capital'!$D$15))+(H89*'5.Closing Stock &amp; W Capital'!$D$15))*$C$137*J$109</f>
        <v>0</v>
      </c>
      <c r="K149" s="94"/>
      <c r="U149" s="94"/>
      <c r="V149" s="94"/>
      <c r="W149" s="94"/>
    </row>
    <row r="150" spans="1:23">
      <c r="A150" s="95">
        <f t="shared" si="16"/>
        <v>0</v>
      </c>
      <c r="B150" s="95"/>
      <c r="C150" s="256"/>
      <c r="D150" s="96">
        <f>(C90*(1-'5.Closing Stock &amp; W Capital'!$D$15))*$C150*D$109</f>
        <v>0</v>
      </c>
      <c r="E150" s="96">
        <f>((D90*(1-'5.Closing Stock &amp; W Capital'!$D$15))+(C90*'5.Closing Stock &amp; W Capital'!$D$15))*$C150*E$109</f>
        <v>0</v>
      </c>
      <c r="F150" s="96">
        <f>((E90*(1-'5.Closing Stock &amp; W Capital'!$D$15))+(D90*'5.Closing Stock &amp; W Capital'!$D$15))*$C$137*F$109</f>
        <v>0</v>
      </c>
      <c r="G150" s="96">
        <f>((F90*(1-'5.Closing Stock &amp; W Capital'!$D$15))+(E90*'5.Closing Stock &amp; W Capital'!$D$15))*$C$137*G$109</f>
        <v>0</v>
      </c>
      <c r="H150" s="96">
        <f>((G90*(1-'5.Closing Stock &amp; W Capital'!$D$15))+(F90*'5.Closing Stock &amp; W Capital'!$D$15))*$C$137*H$109</f>
        <v>0</v>
      </c>
      <c r="I150" s="96">
        <f>((H90*(1-'5.Closing Stock &amp; W Capital'!$D$15))+(G90*'5.Closing Stock &amp; W Capital'!$D$15))*$C$137*I$109</f>
        <v>0</v>
      </c>
      <c r="J150" s="96">
        <f>((I90*(1-'5.Closing Stock &amp; W Capital'!$D$15))+(H90*'5.Closing Stock &amp; W Capital'!$D$15))*$C$137*J$109</f>
        <v>0</v>
      </c>
      <c r="K150" s="94"/>
      <c r="U150" s="94"/>
      <c r="V150" s="94"/>
      <c r="W150" s="94"/>
    </row>
    <row r="151" spans="1:23">
      <c r="A151" s="95">
        <f t="shared" ref="A151:A156" si="17">A46</f>
        <v>0</v>
      </c>
      <c r="B151" s="95"/>
      <c r="C151" s="256"/>
      <c r="D151" s="96">
        <f>(C91*(1-'5.Closing Stock &amp; W Capital'!$D$15))*$C151*D$109</f>
        <v>0</v>
      </c>
      <c r="E151" s="96">
        <f>((D91*(1-'5.Closing Stock &amp; W Capital'!$D$15))+(C91*'5.Closing Stock &amp; W Capital'!$D$15))*$C151*E$109</f>
        <v>0</v>
      </c>
      <c r="F151" s="96">
        <f>((E91*(1-'5.Closing Stock &amp; W Capital'!$D$15))+(D91*'5.Closing Stock &amp; W Capital'!$D$15))*$C$137*F$109</f>
        <v>0</v>
      </c>
      <c r="G151" s="96">
        <f>((F91*(1-'5.Closing Stock &amp; W Capital'!$D$15))+(E91*'5.Closing Stock &amp; W Capital'!$D$15))*$C$137*G$109</f>
        <v>0</v>
      </c>
      <c r="H151" s="96">
        <f>((G91*(1-'5.Closing Stock &amp; W Capital'!$D$15))+(F91*'5.Closing Stock &amp; W Capital'!$D$15))*$C$137*H$109</f>
        <v>0</v>
      </c>
      <c r="I151" s="96">
        <f>((H91*(1-'5.Closing Stock &amp; W Capital'!$D$15))+(G91*'5.Closing Stock &amp; W Capital'!$D$15))*$C$137*I$109</f>
        <v>0</v>
      </c>
      <c r="J151" s="96">
        <f>((I91*(1-'5.Closing Stock &amp; W Capital'!$D$15))+(H91*'5.Closing Stock &amp; W Capital'!$D$15))*$C$137*J$109</f>
        <v>0</v>
      </c>
      <c r="K151" s="94"/>
      <c r="U151" s="94"/>
      <c r="V151" s="94"/>
      <c r="W151" s="94"/>
    </row>
    <row r="152" spans="1:23">
      <c r="A152" s="95">
        <f t="shared" si="17"/>
        <v>0</v>
      </c>
      <c r="B152" s="95"/>
      <c r="C152" s="256"/>
      <c r="D152" s="96">
        <f>(C92*(1-'5.Closing Stock &amp; W Capital'!$D$15))*$C152*D$109</f>
        <v>0</v>
      </c>
      <c r="E152" s="96">
        <f>((D92*(1-'5.Closing Stock &amp; W Capital'!$D$15))+(C92*'5.Closing Stock &amp; W Capital'!$D$15))*$C152*E$109</f>
        <v>0</v>
      </c>
      <c r="F152" s="96">
        <f>((E92*(1-'5.Closing Stock &amp; W Capital'!$D$15))+(D92*'5.Closing Stock &amp; W Capital'!$D$15))*$C$137*F$109</f>
        <v>0</v>
      </c>
      <c r="G152" s="96">
        <f>((F92*(1-'5.Closing Stock &amp; W Capital'!$D$15))+(E92*'5.Closing Stock &amp; W Capital'!$D$15))*$C$137*G$109</f>
        <v>0</v>
      </c>
      <c r="H152" s="96">
        <f>((G92*(1-'5.Closing Stock &amp; W Capital'!$D$15))+(F92*'5.Closing Stock &amp; W Capital'!$D$15))*$C$137*H$109</f>
        <v>0</v>
      </c>
      <c r="I152" s="96">
        <f>((H92*(1-'5.Closing Stock &amp; W Capital'!$D$15))+(G92*'5.Closing Stock &amp; W Capital'!$D$15))*$C$137*I$109</f>
        <v>0</v>
      </c>
      <c r="J152" s="96">
        <f>((I92*(1-'5.Closing Stock &amp; W Capital'!$D$15))+(H92*'5.Closing Stock &amp; W Capital'!$D$15))*$C$137*J$109</f>
        <v>0</v>
      </c>
      <c r="K152" s="94"/>
      <c r="U152" s="94"/>
      <c r="V152" s="94"/>
      <c r="W152" s="94"/>
    </row>
    <row r="153" spans="1:23">
      <c r="A153" s="95">
        <f t="shared" si="17"/>
        <v>0</v>
      </c>
      <c r="B153" s="95"/>
      <c r="C153" s="256"/>
      <c r="D153" s="96">
        <f>(C93*(1-'5.Closing Stock &amp; W Capital'!$D$15))*$C153*D$109</f>
        <v>0</v>
      </c>
      <c r="E153" s="96">
        <f>((D93*(1-'5.Closing Stock &amp; W Capital'!$D$15))+(C93*'5.Closing Stock &amp; W Capital'!$D$15))*$C153*E$109</f>
        <v>0</v>
      </c>
      <c r="F153" s="96">
        <f>((E93*(1-'5.Closing Stock &amp; W Capital'!$D$15))+(D93*'5.Closing Stock &amp; W Capital'!$D$15))*$C$137*F$109</f>
        <v>0</v>
      </c>
      <c r="G153" s="96">
        <f>((F93*(1-'5.Closing Stock &amp; W Capital'!$D$15))+(E93*'5.Closing Stock &amp; W Capital'!$D$15))*$C$137*G$109</f>
        <v>0</v>
      </c>
      <c r="H153" s="96">
        <f>((G93*(1-'5.Closing Stock &amp; W Capital'!$D$15))+(F93*'5.Closing Stock &amp; W Capital'!$D$15))*$C$137*H$109</f>
        <v>0</v>
      </c>
      <c r="I153" s="96">
        <f>((H93*(1-'5.Closing Stock &amp; W Capital'!$D$15))+(G93*'5.Closing Stock &amp; W Capital'!$D$15))*$C$137*I$109</f>
        <v>0</v>
      </c>
      <c r="J153" s="96">
        <f>((I93*(1-'5.Closing Stock &amp; W Capital'!$D$15))+(H93*'5.Closing Stock &amp; W Capital'!$D$15))*$C$137*J$109</f>
        <v>0</v>
      </c>
      <c r="K153" s="94"/>
      <c r="U153" s="94"/>
      <c r="V153" s="94"/>
      <c r="W153" s="94"/>
    </row>
    <row r="154" spans="1:23">
      <c r="A154" s="95">
        <f t="shared" si="17"/>
        <v>0</v>
      </c>
      <c r="B154" s="95"/>
      <c r="C154" s="256"/>
      <c r="D154" s="96">
        <f>(C94*(1-'5.Closing Stock &amp; W Capital'!$D$15))*$C154*D$109</f>
        <v>0</v>
      </c>
      <c r="E154" s="96">
        <f>((D94*(1-'5.Closing Stock &amp; W Capital'!$D$15))+(C94*'5.Closing Stock &amp; W Capital'!$D$15))*$C154*E$109</f>
        <v>0</v>
      </c>
      <c r="F154" s="96">
        <f>((E94*(1-'5.Closing Stock &amp; W Capital'!$D$15))+(D94*'5.Closing Stock &amp; W Capital'!$D$15))*$C$137*F$109</f>
        <v>0</v>
      </c>
      <c r="G154" s="96">
        <f>((F94*(1-'5.Closing Stock &amp; W Capital'!$D$15))+(E94*'5.Closing Stock &amp; W Capital'!$D$15))*$C$137*G$109</f>
        <v>0</v>
      </c>
      <c r="H154" s="96">
        <f>((G94*(1-'5.Closing Stock &amp; W Capital'!$D$15))+(F94*'5.Closing Stock &amp; W Capital'!$D$15))*$C$137*H$109</f>
        <v>0</v>
      </c>
      <c r="I154" s="96">
        <f>((H94*(1-'5.Closing Stock &amp; W Capital'!$D$15))+(G94*'5.Closing Stock &amp; W Capital'!$D$15))*$C$137*I$109</f>
        <v>0</v>
      </c>
      <c r="J154" s="96">
        <f>((I94*(1-'5.Closing Stock &amp; W Capital'!$D$15))+(H94*'5.Closing Stock &amp; W Capital'!$D$15))*$C$137*J$109</f>
        <v>0</v>
      </c>
      <c r="K154" s="94"/>
      <c r="U154" s="94"/>
      <c r="V154" s="94"/>
      <c r="W154" s="94"/>
    </row>
    <row r="155" spans="1:23">
      <c r="A155" s="95">
        <f t="shared" si="17"/>
        <v>0</v>
      </c>
      <c r="B155" s="95"/>
      <c r="C155" s="256"/>
      <c r="D155" s="96">
        <f>(C95*(1-'5.Closing Stock &amp; W Capital'!$D$15))*$C155*D$109</f>
        <v>0</v>
      </c>
      <c r="E155" s="96">
        <f>((D95*(1-'5.Closing Stock &amp; W Capital'!$D$15))+(C95*'5.Closing Stock &amp; W Capital'!$D$15))*$C155*E$109</f>
        <v>0</v>
      </c>
      <c r="F155" s="96">
        <f>((E95*(1-'5.Closing Stock &amp; W Capital'!$D$15))+(D95*'5.Closing Stock &amp; W Capital'!$D$15))*$C$137*F$109</f>
        <v>0</v>
      </c>
      <c r="G155" s="96">
        <f>((F95*(1-'5.Closing Stock &amp; W Capital'!$D$15))+(E95*'5.Closing Stock &amp; W Capital'!$D$15))*$C$137*G$109</f>
        <v>0</v>
      </c>
      <c r="H155" s="96">
        <f>((G95*(1-'5.Closing Stock &amp; W Capital'!$D$15))+(F95*'5.Closing Stock &amp; W Capital'!$D$15))*$C$137*H$109</f>
        <v>0</v>
      </c>
      <c r="I155" s="96">
        <f>((H95*(1-'5.Closing Stock &amp; W Capital'!$D$15))+(G95*'5.Closing Stock &amp; W Capital'!$D$15))*$C$137*I$109</f>
        <v>0</v>
      </c>
      <c r="J155" s="96">
        <f>((I95*(1-'5.Closing Stock &amp; W Capital'!$D$15))+(H95*'5.Closing Stock &amp; W Capital'!$D$15))*$C$137*J$109</f>
        <v>0</v>
      </c>
      <c r="K155" s="94"/>
      <c r="U155" s="94"/>
      <c r="V155" s="94"/>
      <c r="W155" s="94"/>
    </row>
    <row r="156" spans="1:23">
      <c r="A156" s="95">
        <f t="shared" si="17"/>
        <v>0</v>
      </c>
      <c r="B156" s="95"/>
      <c r="C156" s="256"/>
      <c r="D156" s="96"/>
      <c r="E156" s="96"/>
      <c r="F156" s="96"/>
      <c r="G156" s="96"/>
      <c r="H156" s="96"/>
      <c r="I156" s="96"/>
      <c r="J156" s="96"/>
      <c r="K156" s="94"/>
      <c r="U156" s="94"/>
      <c r="V156" s="94"/>
      <c r="W156" s="94"/>
    </row>
    <row r="157" spans="1:23">
      <c r="A157" s="95"/>
      <c r="B157" s="95"/>
      <c r="C157" s="96"/>
      <c r="D157" s="96"/>
      <c r="E157" s="96"/>
      <c r="F157" s="96"/>
      <c r="G157" s="96"/>
      <c r="H157" s="96"/>
      <c r="I157" s="96"/>
      <c r="J157" s="96"/>
      <c r="K157" s="94"/>
      <c r="U157" s="94"/>
      <c r="V157" s="94"/>
      <c r="W157" s="94"/>
    </row>
    <row r="158" spans="1:23">
      <c r="A158" s="95" t="s">
        <v>242</v>
      </c>
      <c r="B158" s="95"/>
      <c r="C158" s="96"/>
      <c r="D158" s="96"/>
      <c r="E158" s="96"/>
      <c r="F158" s="96"/>
      <c r="G158" s="96"/>
      <c r="H158" s="96"/>
      <c r="I158" s="96"/>
      <c r="J158" s="96"/>
      <c r="K158" s="94"/>
      <c r="U158" s="94"/>
      <c r="V158" s="94"/>
      <c r="W158" s="94"/>
    </row>
    <row r="159" spans="1:23">
      <c r="A159" s="95" t="s">
        <v>368</v>
      </c>
      <c r="B159" s="95"/>
      <c r="C159" s="256">
        <f>350/50</f>
        <v>7</v>
      </c>
      <c r="D159" s="96">
        <f>(C99*(1-'5.Closing Stock &amp; W Capital'!$D$15))*$C$159*D109</f>
        <v>0</v>
      </c>
      <c r="E159" s="96">
        <f>((D99*(1-'5.Closing Stock &amp; W Capital'!$D$15))+(C99*'5.Closing Stock &amp; W Capital'!$D$15))*$C$159*E109</f>
        <v>0</v>
      </c>
      <c r="F159" s="96">
        <f>((E99*(1-'5.Closing Stock &amp; W Capital'!$D$15))+(D99*'5.Closing Stock &amp; W Capital'!$D$15))*$C$159*F109</f>
        <v>0</v>
      </c>
      <c r="G159" s="96">
        <f>((F99*(1-'5.Closing Stock &amp; W Capital'!$D$15))+(E99*'5.Closing Stock &amp; W Capital'!$D$15))*$C$159*G109</f>
        <v>0</v>
      </c>
      <c r="H159" s="96">
        <f>((G99*(1-'5.Closing Stock &amp; W Capital'!$D$15))+(F99*'5.Closing Stock &amp; W Capital'!$D$15))*$C$159*H109</f>
        <v>0</v>
      </c>
      <c r="I159" s="96">
        <f>((H99*(1-'5.Closing Stock &amp; W Capital'!$D$15))+(G99*'5.Closing Stock &amp; W Capital'!$D$15))*$C$159*I109</f>
        <v>0</v>
      </c>
      <c r="J159" s="96">
        <f>((I99*(1-'5.Closing Stock &amp; W Capital'!$D$15))+(H99*'5.Closing Stock &amp; W Capital'!$D$15))*$C$159*J109</f>
        <v>0</v>
      </c>
      <c r="K159" s="94"/>
      <c r="U159" s="94"/>
      <c r="V159" s="94"/>
      <c r="W159" s="94"/>
    </row>
    <row r="160" spans="1:23">
      <c r="A160" s="95" t="s">
        <v>144</v>
      </c>
      <c r="B160" s="95"/>
      <c r="C160" s="256">
        <v>8</v>
      </c>
      <c r="D160" s="96">
        <f>(C100*(1-'5.Closing Stock &amp; W Capital'!$D$15))*$C$160*D109</f>
        <v>0</v>
      </c>
      <c r="E160" s="96">
        <f>((D100*(1-'5.Closing Stock &amp; W Capital'!$D$15))+(C100*'5.Closing Stock &amp; W Capital'!$D$15))*$C$160*E109</f>
        <v>0</v>
      </c>
      <c r="F160" s="96">
        <f>((E100*(1-'5.Closing Stock &amp; W Capital'!$D$15))+(D100*'5.Closing Stock &amp; W Capital'!$D$15))*$C$160*F109</f>
        <v>0</v>
      </c>
      <c r="G160" s="96">
        <f>((F100*(1-'5.Closing Stock &amp; W Capital'!$D$15))+(E100*'5.Closing Stock &amp; W Capital'!$D$15))*$C$160*G109</f>
        <v>0</v>
      </c>
      <c r="H160" s="96">
        <f>((G100*(1-'5.Closing Stock &amp; W Capital'!$D$15))+(F100*'5.Closing Stock &amp; W Capital'!$D$15))*$C$160*H109</f>
        <v>0</v>
      </c>
      <c r="I160" s="96">
        <f>((H100*(1-'5.Closing Stock &amp; W Capital'!$D$15))+(G100*'5.Closing Stock &amp; W Capital'!$D$15))*$C$160*I109</f>
        <v>0</v>
      </c>
      <c r="J160" s="96">
        <f>((I100*(1-'5.Closing Stock &amp; W Capital'!$D$15))+(H100*'5.Closing Stock &amp; W Capital'!$D$15))*$C$160*J109</f>
        <v>0</v>
      </c>
      <c r="K160" s="94"/>
      <c r="U160" s="94"/>
      <c r="V160" s="94"/>
      <c r="W160" s="94"/>
    </row>
    <row r="161" spans="1:23">
      <c r="A161" s="95" t="s">
        <v>146</v>
      </c>
      <c r="B161" s="95"/>
      <c r="C161" s="256">
        <v>30</v>
      </c>
      <c r="D161" s="96">
        <f>(C101*(1-'5.Closing Stock &amp; W Capital'!$D$15))*$C$161*D109</f>
        <v>0</v>
      </c>
      <c r="E161" s="96">
        <f>((D101*(1-'5.Closing Stock &amp; W Capital'!$D$15))+(C101*'5.Closing Stock &amp; W Capital'!$D$15))*$C$161*E109</f>
        <v>0</v>
      </c>
      <c r="F161" s="96">
        <f>((E101*(1-'5.Closing Stock &amp; W Capital'!$D$15))+(D101*'5.Closing Stock &amp; W Capital'!$D$15))*$C$161*F109</f>
        <v>0</v>
      </c>
      <c r="G161" s="96">
        <f>((F101*(1-'5.Closing Stock &amp; W Capital'!$D$15))+(E101*'5.Closing Stock &amp; W Capital'!$D$15))*$C$161*G109</f>
        <v>0</v>
      </c>
      <c r="H161" s="96">
        <f>((G101*(1-'5.Closing Stock &amp; W Capital'!$D$15))+(F101*'5.Closing Stock &amp; W Capital'!$D$15))*$C$161*H109</f>
        <v>0</v>
      </c>
      <c r="I161" s="96">
        <f>((H101*(1-'5.Closing Stock &amp; W Capital'!$D$15))+(G101*'5.Closing Stock &amp; W Capital'!$D$15))*$C$161*I109</f>
        <v>0</v>
      </c>
      <c r="J161" s="96">
        <f>((I101*(1-'5.Closing Stock &amp; W Capital'!$D$15))+(H101*'5.Closing Stock &amp; W Capital'!$D$15))*$C$161*J109</f>
        <v>0</v>
      </c>
      <c r="K161" s="94"/>
      <c r="U161" s="94"/>
      <c r="V161" s="94"/>
      <c r="W161" s="94"/>
    </row>
    <row r="162" spans="1:23">
      <c r="A162" s="95"/>
      <c r="B162" s="95"/>
      <c r="C162" s="96"/>
      <c r="D162" s="96"/>
      <c r="E162" s="96"/>
      <c r="F162" s="96"/>
      <c r="G162" s="96"/>
      <c r="H162" s="96"/>
      <c r="I162" s="96"/>
      <c r="J162" s="96"/>
      <c r="K162" s="94"/>
      <c r="U162" s="94"/>
      <c r="V162" s="94"/>
      <c r="W162" s="94"/>
    </row>
    <row r="163" spans="1:23">
      <c r="A163" s="95" t="s">
        <v>145</v>
      </c>
      <c r="B163" s="95"/>
      <c r="C163" s="96"/>
      <c r="D163" s="96"/>
      <c r="E163" s="96"/>
      <c r="F163" s="96"/>
      <c r="G163" s="96"/>
      <c r="H163" s="96"/>
      <c r="I163" s="96"/>
      <c r="J163" s="96"/>
      <c r="K163" s="94"/>
      <c r="U163" s="94"/>
      <c r="V163" s="94"/>
      <c r="W163" s="94"/>
    </row>
    <row r="164" spans="1:23">
      <c r="A164" s="95" t="s">
        <v>151</v>
      </c>
      <c r="B164" s="95"/>
      <c r="C164" s="256">
        <v>3000</v>
      </c>
      <c r="D164" s="96">
        <f>(C103*(1-'5.Closing Stock &amp; W Capital'!$D$15))*$C$164*D109</f>
        <v>0</v>
      </c>
      <c r="E164" s="96">
        <f>((D103*(1-'5.Closing Stock &amp; W Capital'!$D$15))+(C103*'5.Closing Stock &amp; W Capital'!$D$15))*$C$164*E109</f>
        <v>0</v>
      </c>
      <c r="F164" s="96">
        <f>((E103*(1-'5.Closing Stock &amp; W Capital'!$D$15))+(D103*'5.Closing Stock &amp; W Capital'!$D$15))*$C$164*F109</f>
        <v>0</v>
      </c>
      <c r="G164" s="96">
        <f>((F103*(1-'5.Closing Stock &amp; W Capital'!$D$15))+(E103*'5.Closing Stock &amp; W Capital'!$D$15))*$C$164*G109</f>
        <v>0</v>
      </c>
      <c r="H164" s="96">
        <f>((G103*(1-'5.Closing Stock &amp; W Capital'!$D$15))+(F103*'5.Closing Stock &amp; W Capital'!$D$15))*$C$164*H109</f>
        <v>0</v>
      </c>
      <c r="I164" s="96">
        <f>((H103*(1-'5.Closing Stock &amp; W Capital'!$D$15))+(G103*'5.Closing Stock &amp; W Capital'!$D$15))*$C$164*I109</f>
        <v>0</v>
      </c>
      <c r="J164" s="96">
        <f>((I103*(1-'5.Closing Stock &amp; W Capital'!$D$15))+(H103*'5.Closing Stock &amp; W Capital'!$D$15))*$C$164*J109</f>
        <v>0</v>
      </c>
      <c r="K164" s="94"/>
      <c r="U164" s="206"/>
      <c r="V164" s="206"/>
      <c r="W164" s="206"/>
    </row>
    <row r="165" spans="1:23">
      <c r="A165" s="95" t="s">
        <v>152</v>
      </c>
      <c r="B165" s="95"/>
      <c r="C165" s="256">
        <v>2200</v>
      </c>
      <c r="D165" s="96">
        <f>(C104*(1-'5.Closing Stock &amp; W Capital'!$D$15))*$C$165*D109</f>
        <v>0</v>
      </c>
      <c r="E165" s="96">
        <f>((D104*(1-'5.Closing Stock &amp; W Capital'!$D$15))+(C104*'5.Closing Stock &amp; W Capital'!$D$15))*$C$165*E109</f>
        <v>0</v>
      </c>
      <c r="F165" s="96">
        <f>((E104*(1-'5.Closing Stock &amp; W Capital'!$D$15))+(D104*'5.Closing Stock &amp; W Capital'!$D$15))*$C$165*F109</f>
        <v>0</v>
      </c>
      <c r="G165" s="96">
        <f>((F104*(1-'5.Closing Stock &amp; W Capital'!$D$15))+(E104*'5.Closing Stock &amp; W Capital'!$D$15))*$C$165*G109</f>
        <v>0</v>
      </c>
      <c r="H165" s="96">
        <f>((G104*(1-'5.Closing Stock &amp; W Capital'!$D$15))+(F104*'5.Closing Stock &amp; W Capital'!$D$15))*$C$165*H109</f>
        <v>0</v>
      </c>
      <c r="I165" s="96">
        <f>((H104*(1-'5.Closing Stock &amp; W Capital'!$D$15))+(G104*'5.Closing Stock &amp; W Capital'!$D$15))*$C$165*I109</f>
        <v>0</v>
      </c>
      <c r="J165" s="96">
        <f>((I104*(1-'5.Closing Stock &amp; W Capital'!$D$15))+(H104*'5.Closing Stock &amp; W Capital'!$D$15))*$C$165*J109</f>
        <v>0</v>
      </c>
      <c r="K165" s="94"/>
      <c r="U165" s="94"/>
      <c r="V165" s="94"/>
      <c r="W165" s="94"/>
    </row>
    <row r="166" spans="1:23">
      <c r="A166" s="95"/>
      <c r="B166" s="95"/>
      <c r="C166" s="96"/>
      <c r="D166" s="96"/>
      <c r="E166" s="96"/>
      <c r="F166" s="96"/>
      <c r="G166" s="96"/>
      <c r="H166" s="96"/>
      <c r="I166" s="96"/>
      <c r="J166" s="96"/>
      <c r="K166" s="94"/>
      <c r="U166" s="94"/>
      <c r="V166" s="94"/>
      <c r="W166" s="94"/>
    </row>
    <row r="167" spans="1:23">
      <c r="A167" s="95"/>
      <c r="B167" s="95"/>
      <c r="C167" s="96"/>
      <c r="D167" s="96"/>
      <c r="E167" s="96"/>
      <c r="F167" s="96"/>
      <c r="G167" s="96"/>
      <c r="H167" s="96"/>
      <c r="I167" s="96"/>
      <c r="J167" s="96"/>
      <c r="K167" s="94"/>
      <c r="U167" s="94"/>
      <c r="V167" s="94"/>
      <c r="W167" s="94"/>
    </row>
    <row r="168" spans="1:23">
      <c r="A168" s="97" t="s">
        <v>108</v>
      </c>
      <c r="B168" s="97"/>
      <c r="C168" s="115"/>
      <c r="D168" s="115">
        <f t="shared" ref="D168:J168" si="18">SUM(D115:D165)</f>
        <v>0</v>
      </c>
      <c r="E168" s="115">
        <f t="shared" si="18"/>
        <v>0</v>
      </c>
      <c r="F168" s="115">
        <f t="shared" si="18"/>
        <v>0</v>
      </c>
      <c r="G168" s="115">
        <f t="shared" si="18"/>
        <v>0</v>
      </c>
      <c r="H168" s="115">
        <f t="shared" si="18"/>
        <v>0</v>
      </c>
      <c r="I168" s="115">
        <f t="shared" si="18"/>
        <v>0</v>
      </c>
      <c r="J168" s="115">
        <f t="shared" si="18"/>
        <v>0</v>
      </c>
      <c r="K168" s="94"/>
      <c r="U168" s="94"/>
      <c r="V168" s="94"/>
      <c r="W168" s="94"/>
    </row>
    <row r="169" spans="1:23">
      <c r="A169" s="95"/>
      <c r="B169" s="95"/>
      <c r="C169" s="96"/>
      <c r="D169" s="96"/>
      <c r="E169" s="96"/>
      <c r="F169" s="96"/>
      <c r="G169" s="96"/>
      <c r="H169" s="96"/>
      <c r="I169" s="96"/>
      <c r="J169" s="96"/>
      <c r="K169" s="94"/>
      <c r="U169" s="94"/>
      <c r="V169" s="94"/>
      <c r="W169" s="94"/>
    </row>
    <row r="170" spans="1:23">
      <c r="A170" s="95"/>
      <c r="B170" s="95"/>
      <c r="C170" s="96"/>
      <c r="D170" s="96"/>
      <c r="E170" s="96"/>
      <c r="F170" s="96"/>
      <c r="G170" s="96"/>
      <c r="H170" s="96"/>
      <c r="I170" s="96"/>
      <c r="J170" s="96"/>
      <c r="K170" s="94"/>
      <c r="U170" s="94"/>
      <c r="V170" s="94"/>
      <c r="W170" s="94"/>
    </row>
    <row r="171" spans="1:23">
      <c r="A171" s="97" t="s">
        <v>107</v>
      </c>
      <c r="B171" s="97"/>
      <c r="C171" s="96"/>
      <c r="D171" s="96"/>
      <c r="E171" s="96"/>
      <c r="F171" s="96"/>
      <c r="G171" s="96"/>
      <c r="H171" s="96"/>
      <c r="I171" s="96"/>
      <c r="J171" s="96"/>
      <c r="K171" s="94"/>
      <c r="U171" s="94"/>
      <c r="V171" s="94"/>
      <c r="W171" s="94"/>
    </row>
    <row r="172" spans="1:23">
      <c r="A172" s="97" t="str">
        <f>A113</f>
        <v>Seeds (Rate/KG)</v>
      </c>
      <c r="B172" s="97"/>
      <c r="C172" s="96"/>
      <c r="D172" s="96"/>
      <c r="E172" s="96"/>
      <c r="F172" s="96"/>
      <c r="G172" s="96"/>
      <c r="H172" s="96"/>
      <c r="I172" s="96"/>
      <c r="J172" s="96"/>
      <c r="K172" s="94"/>
      <c r="U172" s="94"/>
      <c r="V172" s="94"/>
      <c r="W172" s="94"/>
    </row>
    <row r="173" spans="1:23">
      <c r="A173" s="94" t="s">
        <v>266</v>
      </c>
      <c r="B173" s="94"/>
      <c r="C173" s="94"/>
      <c r="D173" s="94"/>
      <c r="E173" s="94"/>
      <c r="F173" s="94"/>
      <c r="G173" s="94"/>
      <c r="H173" s="94"/>
      <c r="I173" s="94"/>
      <c r="J173" s="94"/>
      <c r="K173" s="94"/>
      <c r="U173" s="94"/>
      <c r="V173" s="94"/>
      <c r="W173" s="94"/>
    </row>
    <row r="174" spans="1:23">
      <c r="A174" s="95" t="str">
        <f t="shared" ref="A174:A209" si="19">A115</f>
        <v>Soybean</v>
      </c>
      <c r="B174" s="94"/>
      <c r="C174" s="256">
        <v>85</v>
      </c>
      <c r="D174" s="96">
        <f t="shared" ref="D174:J183" si="20">C55*$C174*D$109</f>
        <v>0</v>
      </c>
      <c r="E174" s="96">
        <f t="shared" si="20"/>
        <v>0</v>
      </c>
      <c r="F174" s="96">
        <f t="shared" si="20"/>
        <v>0</v>
      </c>
      <c r="G174" s="96">
        <f t="shared" si="20"/>
        <v>0</v>
      </c>
      <c r="H174" s="96">
        <f t="shared" si="20"/>
        <v>0</v>
      </c>
      <c r="I174" s="96">
        <f t="shared" si="20"/>
        <v>0</v>
      </c>
      <c r="J174" s="96">
        <f t="shared" si="20"/>
        <v>0</v>
      </c>
      <c r="K174" s="94"/>
      <c r="U174" s="94"/>
      <c r="V174" s="94"/>
      <c r="W174" s="94"/>
    </row>
    <row r="175" spans="1:23">
      <c r="A175" s="95" t="str">
        <f t="shared" si="19"/>
        <v>Red Gram/Tur</v>
      </c>
      <c r="B175" s="95"/>
      <c r="C175" s="256">
        <v>75</v>
      </c>
      <c r="D175" s="96">
        <f t="shared" si="20"/>
        <v>0</v>
      </c>
      <c r="E175" s="96">
        <f t="shared" si="20"/>
        <v>0</v>
      </c>
      <c r="F175" s="96">
        <f t="shared" si="20"/>
        <v>0</v>
      </c>
      <c r="G175" s="96">
        <f t="shared" si="20"/>
        <v>0</v>
      </c>
      <c r="H175" s="96">
        <f t="shared" si="20"/>
        <v>0</v>
      </c>
      <c r="I175" s="96">
        <f t="shared" si="20"/>
        <v>0</v>
      </c>
      <c r="J175" s="96">
        <f t="shared" si="20"/>
        <v>0</v>
      </c>
      <c r="K175" s="94"/>
      <c r="U175" s="94"/>
      <c r="V175" s="94"/>
      <c r="W175" s="94"/>
    </row>
    <row r="176" spans="1:23">
      <c r="A176" s="95" t="str">
        <f t="shared" si="19"/>
        <v>Paddy/Rice</v>
      </c>
      <c r="B176" s="95"/>
      <c r="C176" s="256">
        <v>57</v>
      </c>
      <c r="D176" s="96">
        <f t="shared" si="20"/>
        <v>0</v>
      </c>
      <c r="E176" s="96">
        <f t="shared" si="20"/>
        <v>0</v>
      </c>
      <c r="F176" s="96">
        <f t="shared" si="20"/>
        <v>0</v>
      </c>
      <c r="G176" s="96">
        <f t="shared" si="20"/>
        <v>0</v>
      </c>
      <c r="H176" s="96">
        <f t="shared" si="20"/>
        <v>0</v>
      </c>
      <c r="I176" s="96">
        <f t="shared" si="20"/>
        <v>0</v>
      </c>
      <c r="J176" s="96">
        <f t="shared" si="20"/>
        <v>0</v>
      </c>
      <c r="K176" s="94"/>
      <c r="U176" s="94"/>
      <c r="V176" s="94"/>
      <c r="W176" s="94"/>
    </row>
    <row r="177" spans="1:23">
      <c r="A177" s="95" t="str">
        <f t="shared" si="19"/>
        <v>Green Gram/ Moong</v>
      </c>
      <c r="B177" s="95"/>
      <c r="C177" s="256">
        <v>80</v>
      </c>
      <c r="D177" s="96">
        <f t="shared" si="20"/>
        <v>0</v>
      </c>
      <c r="E177" s="96">
        <f t="shared" si="20"/>
        <v>0</v>
      </c>
      <c r="F177" s="96">
        <f t="shared" si="20"/>
        <v>0</v>
      </c>
      <c r="G177" s="96">
        <f t="shared" si="20"/>
        <v>0</v>
      </c>
      <c r="H177" s="96">
        <f t="shared" si="20"/>
        <v>0</v>
      </c>
      <c r="I177" s="96">
        <f t="shared" si="20"/>
        <v>0</v>
      </c>
      <c r="J177" s="96">
        <f t="shared" si="20"/>
        <v>0</v>
      </c>
      <c r="K177" s="94"/>
      <c r="L177" s="94"/>
      <c r="M177" s="94"/>
      <c r="N177" s="94"/>
      <c r="O177" s="94"/>
      <c r="P177" s="94"/>
      <c r="Q177" s="94"/>
      <c r="R177" s="94"/>
      <c r="S177" s="94"/>
      <c r="T177" s="94"/>
      <c r="U177" s="94"/>
      <c r="V177" s="94"/>
      <c r="W177" s="94"/>
    </row>
    <row r="178" spans="1:23">
      <c r="A178" s="95" t="str">
        <f t="shared" si="19"/>
        <v>Maize</v>
      </c>
      <c r="B178" s="95"/>
      <c r="C178" s="256">
        <v>25</v>
      </c>
      <c r="D178" s="96">
        <f t="shared" si="20"/>
        <v>0</v>
      </c>
      <c r="E178" s="96">
        <f t="shared" si="20"/>
        <v>0</v>
      </c>
      <c r="F178" s="96">
        <f t="shared" si="20"/>
        <v>0</v>
      </c>
      <c r="G178" s="96">
        <f t="shared" si="20"/>
        <v>0</v>
      </c>
      <c r="H178" s="96">
        <f t="shared" si="20"/>
        <v>0</v>
      </c>
      <c r="I178" s="96">
        <f t="shared" si="20"/>
        <v>0</v>
      </c>
      <c r="J178" s="96">
        <f t="shared" si="20"/>
        <v>0</v>
      </c>
      <c r="K178" s="94"/>
      <c r="L178" s="94"/>
      <c r="M178" s="94"/>
      <c r="N178" s="94"/>
      <c r="O178" s="94"/>
      <c r="P178" s="94"/>
      <c r="Q178" s="94"/>
      <c r="R178" s="94"/>
      <c r="S178" s="94"/>
      <c r="T178" s="94"/>
      <c r="U178" s="94"/>
      <c r="V178" s="94"/>
      <c r="W178" s="94"/>
    </row>
    <row r="179" spans="1:23">
      <c r="A179" s="95" t="str">
        <f t="shared" si="19"/>
        <v>Black Gram/Udid</v>
      </c>
      <c r="B179" s="95"/>
      <c r="C179" s="256">
        <v>70</v>
      </c>
      <c r="D179" s="96">
        <f t="shared" si="20"/>
        <v>0</v>
      </c>
      <c r="E179" s="96">
        <f t="shared" si="20"/>
        <v>0</v>
      </c>
      <c r="F179" s="96">
        <f t="shared" si="20"/>
        <v>0</v>
      </c>
      <c r="G179" s="96">
        <f t="shared" si="20"/>
        <v>0</v>
      </c>
      <c r="H179" s="96">
        <f t="shared" si="20"/>
        <v>0</v>
      </c>
      <c r="I179" s="96">
        <f t="shared" si="20"/>
        <v>0</v>
      </c>
      <c r="J179" s="96">
        <f t="shared" si="20"/>
        <v>0</v>
      </c>
      <c r="K179" s="94"/>
      <c r="L179" s="94"/>
      <c r="M179" s="94"/>
      <c r="N179" s="94"/>
      <c r="O179" s="94"/>
      <c r="P179" s="94"/>
      <c r="Q179" s="94"/>
      <c r="R179" s="94"/>
      <c r="S179" s="94"/>
      <c r="T179" s="94"/>
      <c r="U179" s="94"/>
      <c r="V179" s="94"/>
      <c r="W179" s="94"/>
    </row>
    <row r="180" spans="1:23">
      <c r="A180" s="95" t="str">
        <f t="shared" si="19"/>
        <v>Bajra</v>
      </c>
      <c r="B180" s="95"/>
      <c r="C180" s="256">
        <v>25</v>
      </c>
      <c r="D180" s="96">
        <f t="shared" si="20"/>
        <v>0</v>
      </c>
      <c r="E180" s="96">
        <f t="shared" si="20"/>
        <v>0</v>
      </c>
      <c r="F180" s="96">
        <f t="shared" si="20"/>
        <v>0</v>
      </c>
      <c r="G180" s="96">
        <f t="shared" si="20"/>
        <v>0</v>
      </c>
      <c r="H180" s="96">
        <f t="shared" si="20"/>
        <v>0</v>
      </c>
      <c r="I180" s="96">
        <f t="shared" si="20"/>
        <v>0</v>
      </c>
      <c r="J180" s="96">
        <f t="shared" si="20"/>
        <v>0</v>
      </c>
      <c r="K180" s="94"/>
      <c r="L180" s="94"/>
      <c r="M180" s="94"/>
      <c r="N180" s="94"/>
      <c r="O180" s="94"/>
      <c r="P180" s="94"/>
      <c r="Q180" s="94"/>
      <c r="R180" s="94"/>
      <c r="S180" s="94"/>
      <c r="T180" s="94"/>
      <c r="U180" s="94"/>
      <c r="V180" s="94"/>
      <c r="W180" s="94"/>
    </row>
    <row r="181" spans="1:23">
      <c r="A181" s="95" t="str">
        <f t="shared" si="19"/>
        <v>Jawar</v>
      </c>
      <c r="B181" s="95"/>
      <c r="C181" s="256">
        <v>25</v>
      </c>
      <c r="D181" s="96">
        <f t="shared" si="20"/>
        <v>0</v>
      </c>
      <c r="E181" s="96">
        <f t="shared" si="20"/>
        <v>0</v>
      </c>
      <c r="F181" s="96">
        <f t="shared" si="20"/>
        <v>0</v>
      </c>
      <c r="G181" s="96">
        <f t="shared" si="20"/>
        <v>0</v>
      </c>
      <c r="H181" s="96">
        <f t="shared" si="20"/>
        <v>0</v>
      </c>
      <c r="I181" s="96">
        <f t="shared" si="20"/>
        <v>0</v>
      </c>
      <c r="J181" s="96">
        <f t="shared" si="20"/>
        <v>0</v>
      </c>
      <c r="K181" s="94"/>
      <c r="L181" s="94"/>
      <c r="M181" s="94"/>
      <c r="N181" s="94"/>
      <c r="O181" s="94"/>
      <c r="P181" s="94"/>
      <c r="Q181" s="94"/>
      <c r="R181" s="94"/>
      <c r="S181" s="94"/>
      <c r="T181" s="94"/>
      <c r="U181" s="94"/>
      <c r="V181" s="94"/>
      <c r="W181" s="94"/>
    </row>
    <row r="182" spans="1:23">
      <c r="A182" s="97" t="str">
        <f t="shared" si="19"/>
        <v>Rabi Crop</v>
      </c>
      <c r="B182" s="95"/>
      <c r="C182" s="256"/>
      <c r="D182" s="96">
        <f t="shared" si="20"/>
        <v>0</v>
      </c>
      <c r="E182" s="96">
        <f t="shared" si="20"/>
        <v>0</v>
      </c>
      <c r="F182" s="96">
        <f t="shared" si="20"/>
        <v>0</v>
      </c>
      <c r="G182" s="96">
        <f t="shared" si="20"/>
        <v>0</v>
      </c>
      <c r="H182" s="96">
        <f t="shared" si="20"/>
        <v>0</v>
      </c>
      <c r="I182" s="96">
        <f t="shared" si="20"/>
        <v>0</v>
      </c>
      <c r="J182" s="96">
        <f t="shared" si="20"/>
        <v>0</v>
      </c>
      <c r="K182" s="94"/>
      <c r="L182" s="94"/>
      <c r="M182" s="94"/>
      <c r="N182" s="94"/>
      <c r="O182" s="94"/>
      <c r="P182" s="94"/>
      <c r="Q182" s="94"/>
      <c r="R182" s="94"/>
      <c r="S182" s="94"/>
      <c r="T182" s="94"/>
      <c r="U182" s="94"/>
      <c r="V182" s="94"/>
      <c r="W182" s="94"/>
    </row>
    <row r="183" spans="1:23">
      <c r="A183" s="95" t="str">
        <f t="shared" si="19"/>
        <v>Wheat</v>
      </c>
      <c r="B183" s="95"/>
      <c r="C183" s="256">
        <v>35</v>
      </c>
      <c r="D183" s="96">
        <f t="shared" si="20"/>
        <v>0</v>
      </c>
      <c r="E183" s="96">
        <f t="shared" si="20"/>
        <v>0</v>
      </c>
      <c r="F183" s="96">
        <f t="shared" si="20"/>
        <v>0</v>
      </c>
      <c r="G183" s="96">
        <f t="shared" si="20"/>
        <v>0</v>
      </c>
      <c r="H183" s="96">
        <f t="shared" si="20"/>
        <v>0</v>
      </c>
      <c r="I183" s="96">
        <f t="shared" si="20"/>
        <v>0</v>
      </c>
      <c r="J183" s="96">
        <f t="shared" si="20"/>
        <v>0</v>
      </c>
      <c r="K183" s="94"/>
      <c r="L183" s="94"/>
      <c r="M183" s="94"/>
      <c r="N183" s="94"/>
      <c r="O183" s="94"/>
      <c r="P183" s="94"/>
      <c r="Q183" s="94"/>
      <c r="R183" s="94"/>
      <c r="S183" s="94"/>
      <c r="T183" s="94"/>
      <c r="U183" s="94"/>
      <c r="V183" s="94"/>
      <c r="W183" s="94"/>
    </row>
    <row r="184" spans="1:23">
      <c r="A184" s="95" t="str">
        <f t="shared" si="19"/>
        <v>Bengal Gram/Channa</v>
      </c>
      <c r="B184" s="95"/>
      <c r="C184" s="256">
        <v>70</v>
      </c>
      <c r="D184" s="96">
        <f t="shared" ref="D184:J193" si="21">C65*$C184*D$109</f>
        <v>0</v>
      </c>
      <c r="E184" s="96">
        <f t="shared" si="21"/>
        <v>0</v>
      </c>
      <c r="F184" s="96">
        <f t="shared" si="21"/>
        <v>0</v>
      </c>
      <c r="G184" s="96">
        <f t="shared" si="21"/>
        <v>0</v>
      </c>
      <c r="H184" s="96">
        <f t="shared" si="21"/>
        <v>0</v>
      </c>
      <c r="I184" s="96">
        <f t="shared" si="21"/>
        <v>0</v>
      </c>
      <c r="J184" s="96">
        <f t="shared" si="21"/>
        <v>0</v>
      </c>
      <c r="K184" s="94"/>
      <c r="L184" s="94"/>
      <c r="M184" s="94"/>
      <c r="N184" s="94"/>
      <c r="O184" s="94"/>
      <c r="P184" s="94"/>
      <c r="Q184" s="94"/>
      <c r="R184" s="94"/>
      <c r="S184" s="94"/>
      <c r="T184" s="94"/>
      <c r="U184" s="94"/>
      <c r="V184" s="94"/>
      <c r="W184" s="94"/>
    </row>
    <row r="185" spans="1:23">
      <c r="A185" s="95" t="str">
        <f t="shared" si="19"/>
        <v>Jawar</v>
      </c>
      <c r="B185" s="95"/>
      <c r="C185" s="256">
        <v>25</v>
      </c>
      <c r="D185" s="96">
        <f t="shared" si="21"/>
        <v>0</v>
      </c>
      <c r="E185" s="96">
        <f t="shared" si="21"/>
        <v>0</v>
      </c>
      <c r="F185" s="96">
        <f t="shared" si="21"/>
        <v>0</v>
      </c>
      <c r="G185" s="96">
        <f t="shared" si="21"/>
        <v>0</v>
      </c>
      <c r="H185" s="96">
        <f t="shared" si="21"/>
        <v>0</v>
      </c>
      <c r="I185" s="96">
        <f t="shared" si="21"/>
        <v>0</v>
      </c>
      <c r="J185" s="96">
        <f t="shared" si="21"/>
        <v>0</v>
      </c>
      <c r="K185" s="94"/>
      <c r="L185" s="94"/>
      <c r="M185" s="94"/>
      <c r="N185" s="94"/>
      <c r="O185" s="94"/>
      <c r="P185" s="94"/>
      <c r="Q185" s="94"/>
      <c r="R185" s="94"/>
      <c r="S185" s="94"/>
      <c r="T185" s="94"/>
      <c r="U185" s="94"/>
      <c r="V185" s="94"/>
      <c r="W185" s="94"/>
    </row>
    <row r="186" spans="1:23">
      <c r="A186" s="95" t="str">
        <f t="shared" si="19"/>
        <v>Maize</v>
      </c>
      <c r="B186" s="95"/>
      <c r="C186" s="256">
        <v>25</v>
      </c>
      <c r="D186" s="96">
        <f t="shared" si="21"/>
        <v>0</v>
      </c>
      <c r="E186" s="96">
        <f t="shared" si="21"/>
        <v>0</v>
      </c>
      <c r="F186" s="96">
        <f t="shared" si="21"/>
        <v>0</v>
      </c>
      <c r="G186" s="96">
        <f t="shared" si="21"/>
        <v>0</v>
      </c>
      <c r="H186" s="96">
        <f t="shared" si="21"/>
        <v>0</v>
      </c>
      <c r="I186" s="96">
        <f t="shared" si="21"/>
        <v>0</v>
      </c>
      <c r="J186" s="96">
        <f t="shared" si="21"/>
        <v>0</v>
      </c>
      <c r="K186" s="94"/>
      <c r="L186" s="94"/>
      <c r="M186" s="94"/>
      <c r="N186" s="94"/>
      <c r="O186" s="94"/>
      <c r="P186" s="94"/>
      <c r="Q186" s="94"/>
      <c r="R186" s="94"/>
      <c r="S186" s="94"/>
      <c r="T186" s="94"/>
      <c r="U186" s="94"/>
      <c r="V186" s="94"/>
      <c r="W186" s="94"/>
    </row>
    <row r="187" spans="1:23">
      <c r="A187" s="95" t="str">
        <f t="shared" si="19"/>
        <v>Safflower</v>
      </c>
      <c r="B187" s="95"/>
      <c r="C187" s="256">
        <v>25</v>
      </c>
      <c r="D187" s="96">
        <f t="shared" si="21"/>
        <v>0</v>
      </c>
      <c r="E187" s="96">
        <f t="shared" si="21"/>
        <v>0</v>
      </c>
      <c r="F187" s="96">
        <f t="shared" si="21"/>
        <v>0</v>
      </c>
      <c r="G187" s="96">
        <f t="shared" si="21"/>
        <v>0</v>
      </c>
      <c r="H187" s="96">
        <f t="shared" si="21"/>
        <v>0</v>
      </c>
      <c r="I187" s="96">
        <f t="shared" si="21"/>
        <v>0</v>
      </c>
      <c r="J187" s="96">
        <f t="shared" si="21"/>
        <v>0</v>
      </c>
      <c r="K187" s="94"/>
      <c r="L187" s="94"/>
      <c r="M187" s="94"/>
      <c r="N187" s="94"/>
      <c r="O187" s="94"/>
      <c r="P187" s="94"/>
      <c r="Q187" s="94"/>
      <c r="R187" s="94"/>
      <c r="S187" s="94"/>
      <c r="T187" s="94"/>
      <c r="U187" s="94"/>
      <c r="V187" s="94"/>
      <c r="W187" s="94"/>
    </row>
    <row r="188" spans="1:23">
      <c r="A188" s="95">
        <f t="shared" si="19"/>
        <v>0</v>
      </c>
      <c r="B188" s="95"/>
      <c r="C188" s="256"/>
      <c r="D188" s="96">
        <f t="shared" si="21"/>
        <v>0</v>
      </c>
      <c r="E188" s="96">
        <f t="shared" si="21"/>
        <v>0</v>
      </c>
      <c r="F188" s="96">
        <f t="shared" si="21"/>
        <v>0</v>
      </c>
      <c r="G188" s="96">
        <f t="shared" si="21"/>
        <v>0</v>
      </c>
      <c r="H188" s="96">
        <f t="shared" si="21"/>
        <v>0</v>
      </c>
      <c r="I188" s="96">
        <f t="shared" si="21"/>
        <v>0</v>
      </c>
      <c r="J188" s="96">
        <f t="shared" si="21"/>
        <v>0</v>
      </c>
      <c r="K188" s="94"/>
      <c r="L188" s="94"/>
      <c r="M188" s="94"/>
      <c r="N188" s="94"/>
      <c r="O188" s="94"/>
      <c r="P188" s="94"/>
      <c r="Q188" s="94"/>
      <c r="R188" s="94"/>
      <c r="S188" s="94"/>
      <c r="T188" s="94"/>
      <c r="U188" s="94"/>
      <c r="V188" s="94"/>
      <c r="W188" s="94"/>
    </row>
    <row r="189" spans="1:23">
      <c r="A189" s="95">
        <f t="shared" si="19"/>
        <v>0</v>
      </c>
      <c r="B189" s="95"/>
      <c r="C189" s="256"/>
      <c r="D189" s="96">
        <f t="shared" si="21"/>
        <v>0</v>
      </c>
      <c r="E189" s="96">
        <f t="shared" si="21"/>
        <v>0</v>
      </c>
      <c r="F189" s="96">
        <f t="shared" si="21"/>
        <v>0</v>
      </c>
      <c r="G189" s="96">
        <f t="shared" si="21"/>
        <v>0</v>
      </c>
      <c r="H189" s="96">
        <f t="shared" si="21"/>
        <v>0</v>
      </c>
      <c r="I189" s="96">
        <f t="shared" si="21"/>
        <v>0</v>
      </c>
      <c r="J189" s="96">
        <f t="shared" si="21"/>
        <v>0</v>
      </c>
      <c r="K189" s="94"/>
      <c r="L189" s="94"/>
      <c r="M189" s="94"/>
      <c r="N189" s="94"/>
      <c r="O189" s="94"/>
      <c r="P189" s="94"/>
      <c r="Q189" s="94"/>
      <c r="R189" s="94"/>
      <c r="S189" s="94"/>
      <c r="T189" s="94"/>
      <c r="U189" s="94"/>
      <c r="V189" s="94"/>
      <c r="W189" s="94"/>
    </row>
    <row r="190" spans="1:23">
      <c r="A190" s="95">
        <f t="shared" si="19"/>
        <v>0</v>
      </c>
      <c r="B190" s="95"/>
      <c r="C190" s="256"/>
      <c r="D190" s="96">
        <f t="shared" si="21"/>
        <v>0</v>
      </c>
      <c r="E190" s="96">
        <f t="shared" si="21"/>
        <v>0</v>
      </c>
      <c r="F190" s="96">
        <f t="shared" si="21"/>
        <v>0</v>
      </c>
      <c r="G190" s="96">
        <f t="shared" si="21"/>
        <v>0</v>
      </c>
      <c r="H190" s="96">
        <f t="shared" si="21"/>
        <v>0</v>
      </c>
      <c r="I190" s="96">
        <f t="shared" si="21"/>
        <v>0</v>
      </c>
      <c r="J190" s="96">
        <f t="shared" si="21"/>
        <v>0</v>
      </c>
      <c r="K190" s="94"/>
      <c r="L190" s="94"/>
      <c r="M190" s="94"/>
      <c r="N190" s="94"/>
      <c r="O190" s="94"/>
      <c r="P190" s="94"/>
      <c r="Q190" s="94"/>
      <c r="R190" s="94"/>
      <c r="S190" s="94"/>
      <c r="T190" s="94"/>
      <c r="U190" s="94"/>
      <c r="V190" s="94"/>
      <c r="W190" s="94"/>
    </row>
    <row r="191" spans="1:23">
      <c r="A191" s="95" t="str">
        <f t="shared" si="19"/>
        <v>Summer</v>
      </c>
      <c r="B191" s="95"/>
      <c r="C191" s="256"/>
      <c r="D191" s="96">
        <f t="shared" si="21"/>
        <v>0</v>
      </c>
      <c r="E191" s="96">
        <f t="shared" si="21"/>
        <v>0</v>
      </c>
      <c r="F191" s="96">
        <f t="shared" si="21"/>
        <v>0</v>
      </c>
      <c r="G191" s="96">
        <f t="shared" si="21"/>
        <v>0</v>
      </c>
      <c r="H191" s="96">
        <f t="shared" si="21"/>
        <v>0</v>
      </c>
      <c r="I191" s="96">
        <f t="shared" si="21"/>
        <v>0</v>
      </c>
      <c r="J191" s="96">
        <f t="shared" si="21"/>
        <v>0</v>
      </c>
      <c r="K191" s="94"/>
      <c r="L191" s="94"/>
      <c r="M191" s="94"/>
      <c r="N191" s="94"/>
      <c r="O191" s="94"/>
      <c r="P191" s="94"/>
      <c r="Q191" s="94"/>
      <c r="R191" s="94"/>
      <c r="S191" s="94"/>
      <c r="T191" s="94"/>
      <c r="U191" s="94"/>
      <c r="V191" s="94"/>
      <c r="W191" s="94"/>
    </row>
    <row r="192" spans="1:23">
      <c r="A192" s="95" t="str">
        <f t="shared" si="19"/>
        <v>Groundnut</v>
      </c>
      <c r="B192" s="95"/>
      <c r="C192" s="256"/>
      <c r="D192" s="96">
        <f t="shared" si="21"/>
        <v>0</v>
      </c>
      <c r="E192" s="96">
        <f t="shared" si="21"/>
        <v>0</v>
      </c>
      <c r="F192" s="96">
        <f t="shared" si="21"/>
        <v>0</v>
      </c>
      <c r="G192" s="96">
        <f t="shared" si="21"/>
        <v>0</v>
      </c>
      <c r="H192" s="96">
        <f t="shared" si="21"/>
        <v>0</v>
      </c>
      <c r="I192" s="96">
        <f t="shared" si="21"/>
        <v>0</v>
      </c>
      <c r="J192" s="96">
        <f t="shared" si="21"/>
        <v>0</v>
      </c>
      <c r="K192" s="94"/>
      <c r="L192" s="94"/>
      <c r="M192" s="94"/>
      <c r="N192" s="94"/>
      <c r="O192" s="94"/>
      <c r="P192" s="94"/>
      <c r="Q192" s="94"/>
      <c r="R192" s="94"/>
      <c r="S192" s="94"/>
      <c r="T192" s="94"/>
      <c r="U192" s="94"/>
      <c r="V192" s="94"/>
      <c r="W192" s="94"/>
    </row>
    <row r="193" spans="1:23">
      <c r="A193" s="95">
        <f t="shared" si="19"/>
        <v>0</v>
      </c>
      <c r="B193" s="95"/>
      <c r="C193" s="256"/>
      <c r="D193" s="96">
        <f t="shared" si="21"/>
        <v>0</v>
      </c>
      <c r="E193" s="96">
        <f t="shared" si="21"/>
        <v>0</v>
      </c>
      <c r="F193" s="96">
        <f t="shared" si="21"/>
        <v>0</v>
      </c>
      <c r="G193" s="96">
        <f t="shared" si="21"/>
        <v>0</v>
      </c>
      <c r="H193" s="96">
        <f t="shared" si="21"/>
        <v>0</v>
      </c>
      <c r="I193" s="96">
        <f t="shared" si="21"/>
        <v>0</v>
      </c>
      <c r="J193" s="96">
        <f t="shared" si="21"/>
        <v>0</v>
      </c>
      <c r="K193" s="94"/>
      <c r="L193" s="94"/>
      <c r="M193" s="94"/>
      <c r="N193" s="94"/>
      <c r="O193" s="94"/>
      <c r="P193" s="94"/>
      <c r="Q193" s="94"/>
      <c r="R193" s="94"/>
      <c r="S193" s="94"/>
      <c r="T193" s="94"/>
      <c r="U193" s="94"/>
      <c r="V193" s="94"/>
      <c r="W193" s="94"/>
    </row>
    <row r="194" spans="1:23">
      <c r="A194" s="95">
        <f t="shared" si="19"/>
        <v>0</v>
      </c>
      <c r="B194" s="95"/>
      <c r="C194" s="256"/>
      <c r="D194" s="96">
        <f t="shared" ref="D194:J196" si="22">C75*$C194*D$109</f>
        <v>0</v>
      </c>
      <c r="E194" s="96">
        <f t="shared" si="22"/>
        <v>0</v>
      </c>
      <c r="F194" s="96">
        <f t="shared" si="22"/>
        <v>0</v>
      </c>
      <c r="G194" s="96">
        <f t="shared" si="22"/>
        <v>0</v>
      </c>
      <c r="H194" s="96">
        <f t="shared" si="22"/>
        <v>0</v>
      </c>
      <c r="I194" s="96">
        <f t="shared" si="22"/>
        <v>0</v>
      </c>
      <c r="J194" s="96">
        <f t="shared" si="22"/>
        <v>0</v>
      </c>
      <c r="K194" s="94"/>
      <c r="L194" s="94"/>
      <c r="M194" s="94"/>
      <c r="N194" s="94"/>
      <c r="O194" s="94"/>
      <c r="P194" s="94"/>
      <c r="Q194" s="94"/>
      <c r="R194" s="94"/>
      <c r="S194" s="94"/>
      <c r="T194" s="94"/>
      <c r="U194" s="94"/>
      <c r="V194" s="94"/>
      <c r="W194" s="94"/>
    </row>
    <row r="195" spans="1:23">
      <c r="A195" s="95">
        <f t="shared" si="19"/>
        <v>0</v>
      </c>
      <c r="B195" s="95"/>
      <c r="C195" s="256"/>
      <c r="D195" s="96">
        <f t="shared" si="22"/>
        <v>0</v>
      </c>
      <c r="E195" s="96">
        <f t="shared" si="22"/>
        <v>0</v>
      </c>
      <c r="F195" s="96">
        <f t="shared" si="22"/>
        <v>0</v>
      </c>
      <c r="G195" s="96">
        <f t="shared" si="22"/>
        <v>0</v>
      </c>
      <c r="H195" s="96">
        <f t="shared" si="22"/>
        <v>0</v>
      </c>
      <c r="I195" s="96">
        <f t="shared" si="22"/>
        <v>0</v>
      </c>
      <c r="J195" s="96">
        <f t="shared" si="22"/>
        <v>0</v>
      </c>
      <c r="K195" s="94"/>
      <c r="L195" s="94"/>
      <c r="M195" s="94"/>
      <c r="N195" s="94"/>
      <c r="O195" s="94"/>
      <c r="P195" s="94"/>
      <c r="Q195" s="94"/>
      <c r="R195" s="94"/>
      <c r="S195" s="94"/>
      <c r="T195" s="94"/>
      <c r="U195" s="94"/>
      <c r="V195" s="94"/>
      <c r="W195" s="94"/>
    </row>
    <row r="196" spans="1:23">
      <c r="A196" s="95">
        <f t="shared" si="19"/>
        <v>0</v>
      </c>
      <c r="B196" s="95"/>
      <c r="C196" s="256"/>
      <c r="D196" s="96">
        <f t="shared" si="22"/>
        <v>0</v>
      </c>
      <c r="E196" s="96">
        <f t="shared" si="22"/>
        <v>0</v>
      </c>
      <c r="F196" s="96">
        <f t="shared" si="22"/>
        <v>0</v>
      </c>
      <c r="G196" s="96">
        <f t="shared" si="22"/>
        <v>0</v>
      </c>
      <c r="H196" s="96">
        <f t="shared" si="22"/>
        <v>0</v>
      </c>
      <c r="I196" s="96">
        <f t="shared" si="22"/>
        <v>0</v>
      </c>
      <c r="J196" s="96">
        <f t="shared" si="22"/>
        <v>0</v>
      </c>
      <c r="K196" s="94"/>
      <c r="L196" s="94"/>
      <c r="M196" s="94"/>
      <c r="N196" s="94"/>
      <c r="O196" s="94"/>
      <c r="P196" s="94"/>
      <c r="Q196" s="94"/>
      <c r="R196" s="94"/>
      <c r="S196" s="94"/>
      <c r="T196" s="94"/>
      <c r="U196" s="94"/>
      <c r="V196" s="94"/>
      <c r="W196" s="94"/>
    </row>
    <row r="197" spans="1:23">
      <c r="A197" s="95" t="str">
        <f t="shared" si="19"/>
        <v>Fruit  &amp; Vegetables Crop Production Details</v>
      </c>
      <c r="B197" s="95"/>
      <c r="C197" s="96"/>
      <c r="D197" s="96"/>
      <c r="E197" s="96"/>
      <c r="F197" s="96"/>
      <c r="G197" s="96"/>
      <c r="H197" s="96"/>
      <c r="I197" s="96"/>
      <c r="J197" s="96"/>
      <c r="K197" s="94"/>
      <c r="L197" s="94"/>
      <c r="M197" s="94"/>
      <c r="N197" s="94"/>
      <c r="O197" s="94"/>
      <c r="P197" s="94"/>
      <c r="Q197" s="94"/>
      <c r="R197" s="94"/>
      <c r="S197" s="94"/>
      <c r="T197" s="94"/>
      <c r="U197" s="94"/>
      <c r="V197" s="94"/>
      <c r="W197" s="94"/>
    </row>
    <row r="198" spans="1:23">
      <c r="A198" s="95">
        <f t="shared" si="19"/>
        <v>0</v>
      </c>
      <c r="B198" s="95"/>
      <c r="C198" s="256"/>
      <c r="D198" s="96">
        <f t="shared" ref="D198:J209" si="23">C79*$C198*D$109</f>
        <v>0</v>
      </c>
      <c r="E198" s="96">
        <f t="shared" si="23"/>
        <v>0</v>
      </c>
      <c r="F198" s="96">
        <f t="shared" si="23"/>
        <v>0</v>
      </c>
      <c r="G198" s="96">
        <f t="shared" si="23"/>
        <v>0</v>
      </c>
      <c r="H198" s="96">
        <f t="shared" si="23"/>
        <v>0</v>
      </c>
      <c r="I198" s="96">
        <f t="shared" si="23"/>
        <v>0</v>
      </c>
      <c r="J198" s="96">
        <f t="shared" si="23"/>
        <v>0</v>
      </c>
      <c r="K198" s="94"/>
      <c r="L198" s="94"/>
      <c r="M198" s="94"/>
      <c r="N198" s="94"/>
      <c r="O198" s="94"/>
      <c r="P198" s="94"/>
      <c r="Q198" s="94"/>
      <c r="R198" s="94"/>
      <c r="S198" s="94"/>
      <c r="T198" s="94"/>
      <c r="U198" s="94"/>
      <c r="V198" s="94"/>
      <c r="W198" s="94"/>
    </row>
    <row r="199" spans="1:23">
      <c r="A199" s="95">
        <f t="shared" si="19"/>
        <v>0</v>
      </c>
      <c r="B199" s="95"/>
      <c r="C199" s="256"/>
      <c r="D199" s="96">
        <f t="shared" si="23"/>
        <v>0</v>
      </c>
      <c r="E199" s="96">
        <f t="shared" si="23"/>
        <v>0</v>
      </c>
      <c r="F199" s="96">
        <f t="shared" si="23"/>
        <v>0</v>
      </c>
      <c r="G199" s="96">
        <f t="shared" si="23"/>
        <v>0</v>
      </c>
      <c r="H199" s="96">
        <f t="shared" si="23"/>
        <v>0</v>
      </c>
      <c r="I199" s="96">
        <f t="shared" si="23"/>
        <v>0</v>
      </c>
      <c r="J199" s="96">
        <f t="shared" si="23"/>
        <v>0</v>
      </c>
      <c r="K199" s="94"/>
      <c r="L199" s="94"/>
      <c r="M199" s="94"/>
      <c r="N199" s="94"/>
      <c r="O199" s="94"/>
      <c r="P199" s="94"/>
      <c r="Q199" s="94"/>
      <c r="R199" s="94"/>
      <c r="S199" s="94"/>
      <c r="T199" s="94"/>
      <c r="U199" s="94"/>
      <c r="V199" s="94"/>
      <c r="W199" s="94"/>
    </row>
    <row r="200" spans="1:23">
      <c r="A200" s="95">
        <f t="shared" si="19"/>
        <v>0</v>
      </c>
      <c r="B200" s="95"/>
      <c r="C200" s="256"/>
      <c r="D200" s="96">
        <f t="shared" si="23"/>
        <v>0</v>
      </c>
      <c r="E200" s="96">
        <f t="shared" si="23"/>
        <v>0</v>
      </c>
      <c r="F200" s="96">
        <f t="shared" si="23"/>
        <v>0</v>
      </c>
      <c r="G200" s="96">
        <f t="shared" si="23"/>
        <v>0</v>
      </c>
      <c r="H200" s="96">
        <f t="shared" si="23"/>
        <v>0</v>
      </c>
      <c r="I200" s="96">
        <f t="shared" si="23"/>
        <v>0</v>
      </c>
      <c r="J200" s="96">
        <f t="shared" si="23"/>
        <v>0</v>
      </c>
      <c r="K200" s="94"/>
      <c r="L200" s="94"/>
      <c r="M200" s="94"/>
      <c r="N200" s="94"/>
      <c r="O200" s="94"/>
      <c r="P200" s="94"/>
      <c r="Q200" s="94"/>
      <c r="R200" s="94"/>
      <c r="S200" s="94"/>
      <c r="T200" s="94"/>
      <c r="U200" s="94"/>
      <c r="V200" s="94"/>
      <c r="W200" s="94"/>
    </row>
    <row r="201" spans="1:23">
      <c r="A201" s="95">
        <f t="shared" si="19"/>
        <v>0</v>
      </c>
      <c r="B201" s="95"/>
      <c r="C201" s="256"/>
      <c r="D201" s="96">
        <f t="shared" si="23"/>
        <v>0</v>
      </c>
      <c r="E201" s="96">
        <f t="shared" si="23"/>
        <v>0</v>
      </c>
      <c r="F201" s="96">
        <f t="shared" si="23"/>
        <v>0</v>
      </c>
      <c r="G201" s="96">
        <f t="shared" si="23"/>
        <v>0</v>
      </c>
      <c r="H201" s="96">
        <f t="shared" si="23"/>
        <v>0</v>
      </c>
      <c r="I201" s="96">
        <f t="shared" si="23"/>
        <v>0</v>
      </c>
      <c r="J201" s="96">
        <f t="shared" si="23"/>
        <v>0</v>
      </c>
      <c r="K201" s="94"/>
      <c r="L201" s="94"/>
      <c r="M201" s="94"/>
      <c r="N201" s="94"/>
      <c r="O201" s="94"/>
      <c r="P201" s="94"/>
      <c r="Q201" s="94"/>
      <c r="R201" s="94"/>
      <c r="S201" s="94"/>
      <c r="T201" s="94"/>
      <c r="U201" s="94"/>
      <c r="V201" s="94"/>
      <c r="W201" s="94"/>
    </row>
    <row r="202" spans="1:23">
      <c r="A202" s="95">
        <f t="shared" si="19"/>
        <v>0</v>
      </c>
      <c r="B202" s="95"/>
      <c r="C202" s="256"/>
      <c r="D202" s="96">
        <f t="shared" si="23"/>
        <v>0</v>
      </c>
      <c r="E202" s="96">
        <f t="shared" si="23"/>
        <v>0</v>
      </c>
      <c r="F202" s="96">
        <f t="shared" si="23"/>
        <v>0</v>
      </c>
      <c r="G202" s="96">
        <f t="shared" si="23"/>
        <v>0</v>
      </c>
      <c r="H202" s="96">
        <f t="shared" si="23"/>
        <v>0</v>
      </c>
      <c r="I202" s="96">
        <f t="shared" si="23"/>
        <v>0</v>
      </c>
      <c r="J202" s="96">
        <f t="shared" si="23"/>
        <v>0</v>
      </c>
      <c r="K202" s="94"/>
      <c r="L202" s="94"/>
      <c r="M202" s="94"/>
      <c r="N202" s="94"/>
      <c r="O202" s="94"/>
      <c r="P202" s="94"/>
      <c r="Q202" s="94"/>
      <c r="R202" s="94"/>
      <c r="S202" s="94"/>
      <c r="T202" s="94"/>
      <c r="U202" s="94"/>
      <c r="V202" s="94"/>
      <c r="W202" s="94"/>
    </row>
    <row r="203" spans="1:23">
      <c r="A203" s="95">
        <f t="shared" si="19"/>
        <v>0</v>
      </c>
      <c r="B203" s="95"/>
      <c r="C203" s="256"/>
      <c r="D203" s="96">
        <f t="shared" si="23"/>
        <v>0</v>
      </c>
      <c r="E203" s="96">
        <f t="shared" si="23"/>
        <v>0</v>
      </c>
      <c r="F203" s="96">
        <f t="shared" si="23"/>
        <v>0</v>
      </c>
      <c r="G203" s="96">
        <f t="shared" si="23"/>
        <v>0</v>
      </c>
      <c r="H203" s="96">
        <f t="shared" si="23"/>
        <v>0</v>
      </c>
      <c r="I203" s="96">
        <f t="shared" si="23"/>
        <v>0</v>
      </c>
      <c r="J203" s="96">
        <f t="shared" si="23"/>
        <v>0</v>
      </c>
      <c r="K203" s="94"/>
      <c r="L203" s="94"/>
      <c r="M203" s="94"/>
      <c r="N203" s="94"/>
      <c r="O203" s="94"/>
      <c r="P203" s="94"/>
      <c r="Q203" s="94"/>
      <c r="R203" s="94"/>
      <c r="S203" s="94"/>
      <c r="T203" s="94"/>
      <c r="U203" s="94"/>
      <c r="V203" s="94"/>
      <c r="W203" s="94"/>
    </row>
    <row r="204" spans="1:23">
      <c r="A204" s="95">
        <f t="shared" si="19"/>
        <v>0</v>
      </c>
      <c r="B204" s="95"/>
      <c r="C204" s="256"/>
      <c r="D204" s="96">
        <f t="shared" si="23"/>
        <v>0</v>
      </c>
      <c r="E204" s="96">
        <f t="shared" si="23"/>
        <v>0</v>
      </c>
      <c r="F204" s="96">
        <f t="shared" si="23"/>
        <v>0</v>
      </c>
      <c r="G204" s="96">
        <f t="shared" si="23"/>
        <v>0</v>
      </c>
      <c r="H204" s="96">
        <f t="shared" si="23"/>
        <v>0</v>
      </c>
      <c r="I204" s="96">
        <f t="shared" si="23"/>
        <v>0</v>
      </c>
      <c r="J204" s="96">
        <f t="shared" si="23"/>
        <v>0</v>
      </c>
      <c r="K204" s="94"/>
      <c r="L204" s="94"/>
      <c r="M204" s="94"/>
      <c r="N204" s="94"/>
      <c r="O204" s="94"/>
      <c r="P204" s="94"/>
      <c r="Q204" s="94"/>
      <c r="R204" s="94"/>
      <c r="S204" s="94"/>
      <c r="T204" s="94"/>
      <c r="U204" s="94"/>
      <c r="V204" s="94"/>
      <c r="W204" s="94"/>
    </row>
    <row r="205" spans="1:23">
      <c r="A205" s="95">
        <f t="shared" si="19"/>
        <v>0</v>
      </c>
      <c r="B205" s="95"/>
      <c r="C205" s="256"/>
      <c r="D205" s="96">
        <f t="shared" si="23"/>
        <v>0</v>
      </c>
      <c r="E205" s="96">
        <f t="shared" si="23"/>
        <v>0</v>
      </c>
      <c r="F205" s="96">
        <f t="shared" si="23"/>
        <v>0</v>
      </c>
      <c r="G205" s="96">
        <f t="shared" si="23"/>
        <v>0</v>
      </c>
      <c r="H205" s="96">
        <f t="shared" si="23"/>
        <v>0</v>
      </c>
      <c r="I205" s="96">
        <f t="shared" si="23"/>
        <v>0</v>
      </c>
      <c r="J205" s="96">
        <f t="shared" si="23"/>
        <v>0</v>
      </c>
      <c r="K205" s="94"/>
      <c r="L205" s="94"/>
      <c r="M205" s="94"/>
      <c r="N205" s="94"/>
      <c r="O205" s="94"/>
      <c r="P205" s="94"/>
      <c r="Q205" s="94"/>
      <c r="R205" s="94"/>
      <c r="S205" s="94"/>
      <c r="T205" s="94"/>
      <c r="U205" s="94"/>
      <c r="V205" s="94"/>
      <c r="W205" s="94"/>
    </row>
    <row r="206" spans="1:23">
      <c r="A206" s="95">
        <f t="shared" si="19"/>
        <v>0</v>
      </c>
      <c r="B206" s="95"/>
      <c r="C206" s="256"/>
      <c r="D206" s="96">
        <f t="shared" si="23"/>
        <v>0</v>
      </c>
      <c r="E206" s="96">
        <f t="shared" si="23"/>
        <v>0</v>
      </c>
      <c r="F206" s="96">
        <f t="shared" si="23"/>
        <v>0</v>
      </c>
      <c r="G206" s="96">
        <f t="shared" si="23"/>
        <v>0</v>
      </c>
      <c r="H206" s="96">
        <f t="shared" si="23"/>
        <v>0</v>
      </c>
      <c r="I206" s="96">
        <f t="shared" si="23"/>
        <v>0</v>
      </c>
      <c r="J206" s="96">
        <f t="shared" si="23"/>
        <v>0</v>
      </c>
      <c r="K206" s="94"/>
      <c r="L206" s="94"/>
      <c r="M206" s="94"/>
      <c r="N206" s="94"/>
      <c r="O206" s="94"/>
      <c r="P206" s="94"/>
      <c r="Q206" s="94"/>
      <c r="R206" s="94"/>
      <c r="S206" s="94"/>
      <c r="T206" s="94"/>
      <c r="U206" s="94"/>
      <c r="V206" s="94"/>
      <c r="W206" s="94"/>
    </row>
    <row r="207" spans="1:23">
      <c r="A207" s="95">
        <f t="shared" si="19"/>
        <v>0</v>
      </c>
      <c r="B207" s="95"/>
      <c r="C207" s="256"/>
      <c r="D207" s="96">
        <f t="shared" si="23"/>
        <v>0</v>
      </c>
      <c r="E207" s="96">
        <f t="shared" si="23"/>
        <v>0</v>
      </c>
      <c r="F207" s="96">
        <f t="shared" si="23"/>
        <v>0</v>
      </c>
      <c r="G207" s="96">
        <f t="shared" si="23"/>
        <v>0</v>
      </c>
      <c r="H207" s="96">
        <f t="shared" si="23"/>
        <v>0</v>
      </c>
      <c r="I207" s="96">
        <f t="shared" si="23"/>
        <v>0</v>
      </c>
      <c r="J207" s="96">
        <f t="shared" si="23"/>
        <v>0</v>
      </c>
      <c r="K207" s="94"/>
      <c r="L207" s="94"/>
      <c r="M207" s="94"/>
      <c r="N207" s="94"/>
      <c r="O207" s="94"/>
      <c r="P207" s="94"/>
      <c r="Q207" s="94"/>
      <c r="R207" s="94"/>
      <c r="S207" s="94"/>
      <c r="T207" s="94"/>
      <c r="U207" s="94"/>
      <c r="V207" s="94"/>
      <c r="W207" s="94"/>
    </row>
    <row r="208" spans="1:23">
      <c r="A208" s="95">
        <f t="shared" si="19"/>
        <v>0</v>
      </c>
      <c r="B208" s="95"/>
      <c r="C208" s="256"/>
      <c r="D208" s="96">
        <f t="shared" si="23"/>
        <v>0</v>
      </c>
      <c r="E208" s="96">
        <f t="shared" si="23"/>
        <v>0</v>
      </c>
      <c r="F208" s="96">
        <f t="shared" si="23"/>
        <v>0</v>
      </c>
      <c r="G208" s="96">
        <f t="shared" si="23"/>
        <v>0</v>
      </c>
      <c r="H208" s="96">
        <f t="shared" si="23"/>
        <v>0</v>
      </c>
      <c r="I208" s="96">
        <f t="shared" si="23"/>
        <v>0</v>
      </c>
      <c r="J208" s="96">
        <f t="shared" si="23"/>
        <v>0</v>
      </c>
      <c r="K208" s="94"/>
      <c r="L208" s="94"/>
      <c r="M208" s="94"/>
      <c r="N208" s="94"/>
      <c r="O208" s="94"/>
      <c r="P208" s="94"/>
      <c r="Q208" s="94"/>
      <c r="R208" s="94"/>
      <c r="S208" s="94"/>
      <c r="T208" s="94"/>
      <c r="U208" s="94"/>
      <c r="V208" s="94"/>
      <c r="W208" s="94"/>
    </row>
    <row r="209" spans="1:23">
      <c r="A209" s="95">
        <f t="shared" si="19"/>
        <v>0</v>
      </c>
      <c r="B209" s="95"/>
      <c r="C209" s="256"/>
      <c r="D209" s="96">
        <f t="shared" si="23"/>
        <v>0</v>
      </c>
      <c r="E209" s="96">
        <f t="shared" si="23"/>
        <v>0</v>
      </c>
      <c r="F209" s="96">
        <f t="shared" si="23"/>
        <v>0</v>
      </c>
      <c r="G209" s="96">
        <f t="shared" si="23"/>
        <v>0</v>
      </c>
      <c r="H209" s="96">
        <f t="shared" si="23"/>
        <v>0</v>
      </c>
      <c r="I209" s="96">
        <f t="shared" si="23"/>
        <v>0</v>
      </c>
      <c r="J209" s="96">
        <f t="shared" si="23"/>
        <v>0</v>
      </c>
      <c r="K209" s="94"/>
      <c r="L209" s="94"/>
      <c r="M209" s="94"/>
      <c r="N209" s="94"/>
      <c r="O209" s="94"/>
      <c r="P209" s="94"/>
      <c r="Q209" s="94"/>
      <c r="R209" s="94"/>
      <c r="S209" s="94"/>
      <c r="T209" s="94"/>
      <c r="U209" s="94"/>
      <c r="V209" s="94"/>
      <c r="W209" s="94"/>
    </row>
    <row r="210" spans="1:23">
      <c r="A210" s="95">
        <f>A152</f>
        <v>0</v>
      </c>
      <c r="B210" s="95"/>
      <c r="C210" s="256"/>
      <c r="D210" s="96">
        <f t="shared" ref="D210:J214" si="24">C92*$C210*D$109</f>
        <v>0</v>
      </c>
      <c r="E210" s="96">
        <f t="shared" si="24"/>
        <v>0</v>
      </c>
      <c r="F210" s="96">
        <f t="shared" si="24"/>
        <v>0</v>
      </c>
      <c r="G210" s="96">
        <f t="shared" si="24"/>
        <v>0</v>
      </c>
      <c r="H210" s="96">
        <f t="shared" si="24"/>
        <v>0</v>
      </c>
      <c r="I210" s="96">
        <f t="shared" si="24"/>
        <v>0</v>
      </c>
      <c r="J210" s="96">
        <f t="shared" si="24"/>
        <v>0</v>
      </c>
      <c r="K210" s="94"/>
      <c r="L210" s="94"/>
      <c r="M210" s="94"/>
      <c r="N210" s="94"/>
      <c r="O210" s="94"/>
      <c r="P210" s="94"/>
      <c r="Q210" s="94"/>
      <c r="R210" s="94"/>
      <c r="S210" s="94"/>
      <c r="T210" s="94"/>
      <c r="U210" s="94"/>
      <c r="V210" s="94"/>
      <c r="W210" s="94"/>
    </row>
    <row r="211" spans="1:23">
      <c r="A211" s="95">
        <f>A153</f>
        <v>0</v>
      </c>
      <c r="B211" s="95"/>
      <c r="C211" s="256"/>
      <c r="D211" s="96">
        <f t="shared" si="24"/>
        <v>0</v>
      </c>
      <c r="E211" s="96">
        <f t="shared" si="24"/>
        <v>0</v>
      </c>
      <c r="F211" s="96">
        <f t="shared" si="24"/>
        <v>0</v>
      </c>
      <c r="G211" s="96">
        <f t="shared" si="24"/>
        <v>0</v>
      </c>
      <c r="H211" s="96">
        <f t="shared" si="24"/>
        <v>0</v>
      </c>
      <c r="I211" s="96">
        <f t="shared" si="24"/>
        <v>0</v>
      </c>
      <c r="J211" s="96">
        <f t="shared" si="24"/>
        <v>0</v>
      </c>
      <c r="K211" s="94"/>
      <c r="L211" s="94"/>
      <c r="M211" s="94"/>
      <c r="N211" s="94"/>
      <c r="O211" s="94"/>
      <c r="P211" s="94"/>
      <c r="Q211" s="94"/>
      <c r="R211" s="94"/>
      <c r="S211" s="94"/>
      <c r="T211" s="94"/>
      <c r="U211" s="94"/>
      <c r="V211" s="94"/>
      <c r="W211" s="94"/>
    </row>
    <row r="212" spans="1:23">
      <c r="A212" s="95">
        <f>A154</f>
        <v>0</v>
      </c>
      <c r="B212" s="95"/>
      <c r="C212" s="256"/>
      <c r="D212" s="96">
        <f t="shared" si="24"/>
        <v>0</v>
      </c>
      <c r="E212" s="96">
        <f t="shared" si="24"/>
        <v>0</v>
      </c>
      <c r="F212" s="96">
        <f t="shared" si="24"/>
        <v>0</v>
      </c>
      <c r="G212" s="96">
        <f t="shared" si="24"/>
        <v>0</v>
      </c>
      <c r="H212" s="96">
        <f t="shared" si="24"/>
        <v>0</v>
      </c>
      <c r="I212" s="96">
        <f t="shared" si="24"/>
        <v>0</v>
      </c>
      <c r="J212" s="96">
        <f t="shared" si="24"/>
        <v>0</v>
      </c>
      <c r="K212" s="94"/>
      <c r="L212" s="94"/>
      <c r="M212" s="94"/>
      <c r="N212" s="94"/>
      <c r="O212" s="94"/>
      <c r="P212" s="94"/>
      <c r="Q212" s="94"/>
      <c r="R212" s="94"/>
      <c r="S212" s="94"/>
      <c r="T212" s="94"/>
      <c r="U212" s="94"/>
      <c r="V212" s="94"/>
      <c r="W212" s="94"/>
    </row>
    <row r="213" spans="1:23">
      <c r="A213" s="95">
        <f>A155</f>
        <v>0</v>
      </c>
      <c r="B213" s="95"/>
      <c r="C213" s="256"/>
      <c r="D213" s="96">
        <f t="shared" si="24"/>
        <v>0</v>
      </c>
      <c r="E213" s="96">
        <f t="shared" si="24"/>
        <v>0</v>
      </c>
      <c r="F213" s="96">
        <f t="shared" si="24"/>
        <v>0</v>
      </c>
      <c r="G213" s="96">
        <f t="shared" si="24"/>
        <v>0</v>
      </c>
      <c r="H213" s="96">
        <f t="shared" si="24"/>
        <v>0</v>
      </c>
      <c r="I213" s="96">
        <f t="shared" si="24"/>
        <v>0</v>
      </c>
      <c r="J213" s="96">
        <f t="shared" si="24"/>
        <v>0</v>
      </c>
      <c r="K213" s="94"/>
      <c r="L213" s="94"/>
      <c r="M213" s="94"/>
      <c r="N213" s="94"/>
      <c r="O213" s="94"/>
      <c r="P213" s="94"/>
      <c r="Q213" s="94"/>
      <c r="R213" s="94"/>
      <c r="S213" s="94"/>
      <c r="T213" s="94"/>
      <c r="U213" s="94"/>
      <c r="V213" s="94"/>
      <c r="W213" s="94"/>
    </row>
    <row r="214" spans="1:23">
      <c r="A214" s="95">
        <f>A156</f>
        <v>0</v>
      </c>
      <c r="B214" s="95"/>
      <c r="C214" s="256"/>
      <c r="D214" s="96">
        <f t="shared" si="24"/>
        <v>0</v>
      </c>
      <c r="E214" s="96">
        <f t="shared" si="24"/>
        <v>0</v>
      </c>
      <c r="F214" s="96">
        <f t="shared" si="24"/>
        <v>0</v>
      </c>
      <c r="G214" s="96">
        <f t="shared" si="24"/>
        <v>0</v>
      </c>
      <c r="H214" s="96">
        <f t="shared" si="24"/>
        <v>0</v>
      </c>
      <c r="I214" s="96">
        <f t="shared" si="24"/>
        <v>0</v>
      </c>
      <c r="J214" s="96">
        <f t="shared" si="24"/>
        <v>0</v>
      </c>
      <c r="K214" s="94"/>
      <c r="L214" s="94"/>
      <c r="M214" s="94"/>
      <c r="N214" s="94"/>
      <c r="O214" s="94"/>
      <c r="P214" s="94"/>
      <c r="Q214" s="94"/>
      <c r="R214" s="94"/>
      <c r="S214" s="94"/>
      <c r="T214" s="94"/>
      <c r="U214" s="94"/>
      <c r="V214" s="94"/>
      <c r="W214" s="94"/>
    </row>
    <row r="215" spans="1:23">
      <c r="A215" s="95" t="str">
        <f>A158</f>
        <v>Fertilizer(Rate/KG)</v>
      </c>
      <c r="B215" s="95"/>
      <c r="C215" s="96"/>
      <c r="D215" s="96"/>
      <c r="E215" s="96"/>
      <c r="F215" s="96"/>
      <c r="G215" s="96"/>
      <c r="H215" s="96"/>
      <c r="I215" s="96"/>
      <c r="J215" s="96"/>
      <c r="K215" s="94"/>
      <c r="L215" s="94"/>
      <c r="M215" s="94"/>
      <c r="N215" s="94"/>
      <c r="O215" s="94"/>
      <c r="P215" s="94"/>
      <c r="Q215" s="94"/>
      <c r="R215" s="94"/>
      <c r="S215" s="94"/>
      <c r="T215" s="94"/>
      <c r="U215" s="94"/>
      <c r="V215" s="94"/>
      <c r="W215" s="94"/>
    </row>
    <row r="216" spans="1:23">
      <c r="A216" s="95" t="str">
        <f>A159</f>
        <v>SSP</v>
      </c>
      <c r="B216" s="95"/>
      <c r="C216" s="256">
        <v>6</v>
      </c>
      <c r="D216" s="96">
        <f t="shared" ref="D216:J216" si="25">C99*$C$216*D109</f>
        <v>0</v>
      </c>
      <c r="E216" s="96">
        <f t="shared" si="25"/>
        <v>0</v>
      </c>
      <c r="F216" s="96">
        <f t="shared" si="25"/>
        <v>0</v>
      </c>
      <c r="G216" s="96">
        <f t="shared" si="25"/>
        <v>0</v>
      </c>
      <c r="H216" s="96">
        <f t="shared" si="25"/>
        <v>0</v>
      </c>
      <c r="I216" s="96">
        <f t="shared" si="25"/>
        <v>0</v>
      </c>
      <c r="J216" s="96">
        <f t="shared" si="25"/>
        <v>0</v>
      </c>
      <c r="K216" s="94"/>
      <c r="L216" s="94"/>
      <c r="M216" s="94"/>
      <c r="N216" s="94"/>
      <c r="O216" s="94"/>
      <c r="P216" s="94"/>
      <c r="Q216" s="94"/>
      <c r="R216" s="94"/>
      <c r="S216" s="94"/>
      <c r="T216" s="94"/>
      <c r="U216" s="94"/>
      <c r="V216" s="94"/>
      <c r="W216" s="94"/>
    </row>
    <row r="217" spans="1:23">
      <c r="A217" s="95" t="str">
        <f>A160</f>
        <v>Urea</v>
      </c>
      <c r="B217" s="95"/>
      <c r="C217" s="256">
        <v>5</v>
      </c>
      <c r="D217" s="96">
        <f t="shared" ref="D217:J217" si="26">C100*$C$217*D109</f>
        <v>0</v>
      </c>
      <c r="E217" s="96">
        <f t="shared" si="26"/>
        <v>0</v>
      </c>
      <c r="F217" s="96">
        <f t="shared" si="26"/>
        <v>0</v>
      </c>
      <c r="G217" s="96">
        <f t="shared" si="26"/>
        <v>0</v>
      </c>
      <c r="H217" s="96">
        <f t="shared" si="26"/>
        <v>0</v>
      </c>
      <c r="I217" s="96">
        <f t="shared" si="26"/>
        <v>0</v>
      </c>
      <c r="J217" s="96">
        <f t="shared" si="26"/>
        <v>0</v>
      </c>
      <c r="K217" s="94"/>
      <c r="L217" s="94"/>
      <c r="M217" s="94"/>
      <c r="N217" s="94"/>
      <c r="O217" s="94"/>
      <c r="P217" s="94"/>
      <c r="Q217" s="94"/>
      <c r="R217" s="94"/>
      <c r="S217" s="94"/>
      <c r="T217" s="94"/>
      <c r="U217" s="94"/>
      <c r="V217" s="94"/>
      <c r="W217" s="94"/>
    </row>
    <row r="218" spans="1:23">
      <c r="A218" s="95" t="str">
        <f>A161</f>
        <v>DAP</v>
      </c>
      <c r="B218" s="95"/>
      <c r="C218" s="256">
        <v>27</v>
      </c>
      <c r="D218" s="96">
        <f t="shared" ref="D218:J218" si="27">C101*$C$218*D109</f>
        <v>0</v>
      </c>
      <c r="E218" s="96">
        <f t="shared" si="27"/>
        <v>0</v>
      </c>
      <c r="F218" s="96">
        <f t="shared" si="27"/>
        <v>0</v>
      </c>
      <c r="G218" s="96">
        <f t="shared" si="27"/>
        <v>0</v>
      </c>
      <c r="H218" s="96">
        <f t="shared" si="27"/>
        <v>0</v>
      </c>
      <c r="I218" s="96">
        <f t="shared" si="27"/>
        <v>0</v>
      </c>
      <c r="J218" s="96">
        <f t="shared" si="27"/>
        <v>0</v>
      </c>
      <c r="K218" s="94"/>
      <c r="L218" s="94"/>
      <c r="M218" s="94"/>
      <c r="N218" s="94"/>
      <c r="O218" s="94"/>
      <c r="P218" s="94"/>
      <c r="Q218" s="94"/>
      <c r="R218" s="94"/>
      <c r="S218" s="94"/>
      <c r="T218" s="94"/>
      <c r="U218" s="94"/>
      <c r="V218" s="94"/>
      <c r="W218" s="94"/>
    </row>
    <row r="219" spans="1:23">
      <c r="A219" s="95"/>
      <c r="B219" s="95"/>
      <c r="C219" s="96"/>
      <c r="D219" s="96"/>
      <c r="E219" s="96"/>
      <c r="F219" s="96"/>
      <c r="G219" s="96"/>
      <c r="H219" s="96"/>
      <c r="I219" s="96"/>
      <c r="J219" s="96"/>
      <c r="K219" s="94"/>
      <c r="L219" s="94"/>
      <c r="M219" s="94"/>
      <c r="N219" s="94"/>
      <c r="O219" s="94"/>
      <c r="P219" s="94"/>
      <c r="Q219" s="94"/>
      <c r="R219" s="94"/>
      <c r="S219" s="94"/>
      <c r="T219" s="94"/>
      <c r="U219" s="94"/>
      <c r="V219" s="94"/>
      <c r="W219" s="94"/>
    </row>
    <row r="220" spans="1:23">
      <c r="A220" s="95" t="str">
        <f>A163</f>
        <v>Pesticide</v>
      </c>
      <c r="B220" s="95"/>
      <c r="C220" s="96"/>
      <c r="D220" s="96"/>
      <c r="E220" s="96"/>
      <c r="F220" s="96"/>
      <c r="G220" s="96"/>
      <c r="H220" s="96"/>
      <c r="I220" s="96"/>
      <c r="J220" s="96"/>
      <c r="K220" s="94"/>
      <c r="L220" s="94"/>
      <c r="M220" s="94"/>
      <c r="N220" s="94"/>
      <c r="O220" s="94"/>
      <c r="P220" s="94"/>
      <c r="Q220" s="94"/>
      <c r="R220" s="94"/>
      <c r="S220" s="94"/>
      <c r="T220" s="94"/>
      <c r="U220" s="94"/>
      <c r="V220" s="94"/>
      <c r="W220" s="94"/>
    </row>
    <row r="221" spans="1:23">
      <c r="A221" s="95" t="str">
        <f>A164</f>
        <v>Dupont Coragen</v>
      </c>
      <c r="B221" s="95"/>
      <c r="C221" s="256">
        <v>2800</v>
      </c>
      <c r="D221" s="96">
        <f t="shared" ref="D221:J221" si="28">C103*$C$221*D109</f>
        <v>0</v>
      </c>
      <c r="E221" s="96">
        <f t="shared" si="28"/>
        <v>0</v>
      </c>
      <c r="F221" s="96">
        <f t="shared" si="28"/>
        <v>0</v>
      </c>
      <c r="G221" s="96">
        <f t="shared" si="28"/>
        <v>0</v>
      </c>
      <c r="H221" s="96">
        <f t="shared" si="28"/>
        <v>0</v>
      </c>
      <c r="I221" s="96">
        <f t="shared" si="28"/>
        <v>0</v>
      </c>
      <c r="J221" s="96">
        <f t="shared" si="28"/>
        <v>0</v>
      </c>
      <c r="K221" s="94"/>
      <c r="L221" s="94"/>
      <c r="M221" s="94"/>
      <c r="N221" s="94"/>
      <c r="O221" s="94"/>
      <c r="P221" s="94"/>
      <c r="Q221" s="94"/>
      <c r="R221" s="94"/>
      <c r="S221" s="94"/>
      <c r="T221" s="94"/>
      <c r="U221" s="94"/>
      <c r="V221" s="94"/>
      <c r="W221" s="94"/>
    </row>
    <row r="222" spans="1:23">
      <c r="A222" s="95" t="str">
        <f>A165</f>
        <v>Confidor Boyer</v>
      </c>
      <c r="B222" s="95"/>
      <c r="C222" s="256">
        <v>2000</v>
      </c>
      <c r="D222" s="96">
        <f t="shared" ref="D222:J222" si="29">C104*$C$222*D109</f>
        <v>0</v>
      </c>
      <c r="E222" s="96">
        <f t="shared" si="29"/>
        <v>0</v>
      </c>
      <c r="F222" s="96">
        <f t="shared" si="29"/>
        <v>0</v>
      </c>
      <c r="G222" s="96">
        <f t="shared" si="29"/>
        <v>0</v>
      </c>
      <c r="H222" s="96">
        <f t="shared" si="29"/>
        <v>0</v>
      </c>
      <c r="I222" s="96">
        <f t="shared" si="29"/>
        <v>0</v>
      </c>
      <c r="J222" s="96">
        <f t="shared" si="29"/>
        <v>0</v>
      </c>
      <c r="K222" s="94"/>
      <c r="L222" s="94"/>
      <c r="M222" s="94"/>
      <c r="N222" s="94"/>
      <c r="O222" s="94"/>
      <c r="P222" s="94"/>
      <c r="Q222" s="94"/>
      <c r="R222" s="94"/>
      <c r="S222" s="94"/>
      <c r="T222" s="94"/>
      <c r="U222" s="94"/>
      <c r="V222" s="94"/>
      <c r="W222" s="94"/>
    </row>
    <row r="223" spans="1:23">
      <c r="A223" s="95"/>
      <c r="B223" s="95"/>
      <c r="C223" s="96"/>
      <c r="D223" s="96"/>
      <c r="E223" s="96"/>
      <c r="F223" s="96"/>
      <c r="G223" s="96"/>
      <c r="H223" s="96"/>
      <c r="I223" s="96"/>
      <c r="J223" s="96"/>
      <c r="K223" s="94"/>
      <c r="L223" s="94"/>
      <c r="M223" s="94"/>
      <c r="N223" s="94"/>
      <c r="O223" s="94"/>
      <c r="P223" s="94"/>
      <c r="Q223" s="94"/>
      <c r="R223" s="94"/>
      <c r="S223" s="94"/>
      <c r="T223" s="94"/>
      <c r="U223" s="94"/>
      <c r="V223" s="94"/>
      <c r="W223" s="94"/>
    </row>
    <row r="224" spans="1:23">
      <c r="A224" s="95" t="s">
        <v>246</v>
      </c>
      <c r="B224" s="95"/>
      <c r="C224" s="256">
        <v>10</v>
      </c>
      <c r="D224" s="96">
        <f t="shared" ref="D224:J224" si="30">(SUM(C56:C104)/50)*$C$224*D109</f>
        <v>0</v>
      </c>
      <c r="E224" s="96">
        <f t="shared" si="30"/>
        <v>0</v>
      </c>
      <c r="F224" s="96">
        <f t="shared" si="30"/>
        <v>0</v>
      </c>
      <c r="G224" s="96">
        <f t="shared" si="30"/>
        <v>0</v>
      </c>
      <c r="H224" s="96">
        <f t="shared" si="30"/>
        <v>0</v>
      </c>
      <c r="I224" s="96">
        <f t="shared" si="30"/>
        <v>0</v>
      </c>
      <c r="J224" s="96">
        <f t="shared" si="30"/>
        <v>0</v>
      </c>
      <c r="K224" s="94"/>
      <c r="L224" s="94"/>
      <c r="M224" s="94"/>
      <c r="N224" s="94"/>
      <c r="O224" s="94"/>
      <c r="P224" s="94"/>
      <c r="Q224" s="94"/>
      <c r="R224" s="94"/>
      <c r="S224" s="94"/>
      <c r="T224" s="94"/>
      <c r="U224" s="94"/>
      <c r="V224" s="94"/>
      <c r="W224" s="94"/>
    </row>
    <row r="225" spans="1:23">
      <c r="A225" s="95" t="s">
        <v>137</v>
      </c>
      <c r="B225" s="95"/>
      <c r="C225" s="256">
        <v>100</v>
      </c>
      <c r="D225" s="96">
        <f t="shared" ref="D225:J225" si="31">(SUM(C56:C104)/50)*$C$225*D109</f>
        <v>0</v>
      </c>
      <c r="E225" s="96">
        <f t="shared" si="31"/>
        <v>0</v>
      </c>
      <c r="F225" s="96">
        <f t="shared" si="31"/>
        <v>0</v>
      </c>
      <c r="G225" s="96">
        <f t="shared" si="31"/>
        <v>0</v>
      </c>
      <c r="H225" s="96">
        <f t="shared" si="31"/>
        <v>0</v>
      </c>
      <c r="I225" s="96">
        <f t="shared" si="31"/>
        <v>0</v>
      </c>
      <c r="J225" s="96">
        <f t="shared" si="31"/>
        <v>0</v>
      </c>
      <c r="K225" s="94"/>
      <c r="L225" s="94"/>
      <c r="M225" s="94"/>
      <c r="N225" s="94"/>
      <c r="O225" s="94"/>
      <c r="P225" s="94"/>
      <c r="Q225" s="94"/>
      <c r="R225" s="94"/>
      <c r="S225" s="94"/>
      <c r="T225" s="94"/>
      <c r="U225" s="94"/>
      <c r="V225" s="94"/>
      <c r="W225" s="94"/>
    </row>
    <row r="226" spans="1:23">
      <c r="A226" s="95"/>
      <c r="B226" s="95"/>
      <c r="C226" s="256"/>
      <c r="D226" s="207"/>
      <c r="E226" s="96"/>
      <c r="F226" s="96"/>
      <c r="G226" s="96"/>
      <c r="H226" s="96"/>
      <c r="I226" s="96"/>
      <c r="J226" s="96"/>
      <c r="K226" s="94"/>
      <c r="L226" s="94"/>
      <c r="M226" s="94"/>
      <c r="N226" s="94"/>
      <c r="O226" s="94"/>
      <c r="P226" s="94"/>
      <c r="Q226" s="94"/>
      <c r="R226" s="94"/>
      <c r="S226" s="94"/>
      <c r="T226" s="94"/>
      <c r="U226" s="94"/>
      <c r="V226" s="94"/>
      <c r="W226" s="94"/>
    </row>
    <row r="227" spans="1:23">
      <c r="A227" s="95"/>
      <c r="B227" s="95"/>
      <c r="C227" s="256"/>
      <c r="D227" s="207"/>
      <c r="E227" s="96"/>
      <c r="F227" s="96"/>
      <c r="G227" s="96"/>
      <c r="H227" s="96"/>
      <c r="I227" s="96"/>
      <c r="J227" s="96"/>
      <c r="K227" s="94"/>
      <c r="L227" s="94"/>
      <c r="M227" s="94"/>
      <c r="N227" s="94"/>
      <c r="O227" s="94"/>
      <c r="P227" s="94"/>
      <c r="Q227" s="94"/>
      <c r="R227" s="94"/>
      <c r="S227" s="94"/>
      <c r="T227" s="94"/>
      <c r="U227" s="94"/>
      <c r="V227" s="94"/>
      <c r="W227" s="94"/>
    </row>
    <row r="228" spans="1:23">
      <c r="A228" s="95"/>
      <c r="B228" s="95"/>
      <c r="C228" s="256"/>
      <c r="D228" s="207"/>
      <c r="E228" s="96"/>
      <c r="F228" s="96"/>
      <c r="G228" s="96"/>
      <c r="H228" s="96"/>
      <c r="I228" s="96"/>
      <c r="J228" s="96"/>
      <c r="K228" s="94"/>
      <c r="L228" s="94"/>
      <c r="M228" s="94"/>
      <c r="N228" s="94"/>
      <c r="O228" s="94"/>
      <c r="P228" s="94"/>
      <c r="Q228" s="94"/>
      <c r="R228" s="94"/>
      <c r="S228" s="94"/>
      <c r="T228" s="94"/>
      <c r="U228" s="94"/>
      <c r="V228" s="94"/>
      <c r="W228" s="94"/>
    </row>
    <row r="229" spans="1:23">
      <c r="A229" s="95"/>
      <c r="B229" s="95"/>
      <c r="C229" s="256"/>
      <c r="D229" s="207"/>
      <c r="E229" s="96"/>
      <c r="F229" s="96"/>
      <c r="G229" s="96"/>
      <c r="H229" s="96"/>
      <c r="I229" s="96"/>
      <c r="J229" s="96"/>
      <c r="K229" s="94"/>
      <c r="L229" s="94"/>
      <c r="M229" s="94"/>
      <c r="N229" s="94"/>
      <c r="O229" s="94"/>
      <c r="P229" s="94"/>
      <c r="Q229" s="94"/>
      <c r="R229" s="94"/>
      <c r="S229" s="94"/>
      <c r="T229" s="94"/>
      <c r="U229" s="94"/>
      <c r="V229" s="94"/>
      <c r="W229" s="94"/>
    </row>
    <row r="230" spans="1:23">
      <c r="A230" s="95" t="s">
        <v>299</v>
      </c>
      <c r="B230" s="95"/>
      <c r="C230" s="96"/>
      <c r="D230" s="207"/>
      <c r="E230" s="96">
        <f>'5.Closing Stock &amp; W Capital'!F6</f>
        <v>0</v>
      </c>
      <c r="F230" s="96">
        <f>'5.Closing Stock &amp; W Capital'!G6</f>
        <v>0</v>
      </c>
      <c r="G230" s="96">
        <f>'5.Closing Stock &amp; W Capital'!H6</f>
        <v>0</v>
      </c>
      <c r="H230" s="96">
        <f>'5.Closing Stock &amp; W Capital'!I6</f>
        <v>0</v>
      </c>
      <c r="I230" s="96">
        <f>'5.Closing Stock &amp; W Capital'!J6</f>
        <v>0</v>
      </c>
      <c r="J230" s="96">
        <f>'5.Closing Stock &amp; W Capital'!K6</f>
        <v>0</v>
      </c>
      <c r="K230" s="94"/>
      <c r="L230" s="94"/>
      <c r="M230" s="94"/>
      <c r="N230" s="94"/>
      <c r="O230" s="94"/>
      <c r="P230" s="94"/>
      <c r="Q230" s="94"/>
      <c r="R230" s="94"/>
      <c r="S230" s="94"/>
      <c r="T230" s="94"/>
      <c r="U230" s="94"/>
      <c r="V230" s="94"/>
      <c r="W230" s="94"/>
    </row>
    <row r="231" spans="1:23">
      <c r="A231" s="99" t="s">
        <v>300</v>
      </c>
      <c r="B231" s="95"/>
      <c r="C231" s="95"/>
      <c r="D231" s="207">
        <f>'5.Closing Stock &amp; W Capital'!E15</f>
        <v>0</v>
      </c>
      <c r="E231" s="96">
        <f>'5.Closing Stock &amp; W Capital'!F15</f>
        <v>0</v>
      </c>
      <c r="F231" s="96">
        <f>'5.Closing Stock &amp; W Capital'!G15</f>
        <v>0</v>
      </c>
      <c r="G231" s="96">
        <f>'5.Closing Stock &amp; W Capital'!H15</f>
        <v>0</v>
      </c>
      <c r="H231" s="96">
        <f>'5.Closing Stock &amp; W Capital'!I15</f>
        <v>0</v>
      </c>
      <c r="I231" s="96">
        <f>'5.Closing Stock &amp; W Capital'!J15</f>
        <v>0</v>
      </c>
      <c r="J231" s="96">
        <f>'5.Closing Stock &amp; W Capital'!K15</f>
        <v>0</v>
      </c>
      <c r="K231" s="94"/>
      <c r="L231" s="94"/>
      <c r="M231" s="94"/>
      <c r="N231" s="94"/>
      <c r="O231" s="94"/>
      <c r="P231" s="94"/>
      <c r="Q231" s="94"/>
      <c r="R231" s="94"/>
      <c r="S231" s="94"/>
      <c r="T231" s="94"/>
      <c r="U231" s="94"/>
      <c r="V231" s="94"/>
      <c r="W231" s="94"/>
    </row>
    <row r="232" spans="1:23">
      <c r="A232" s="95"/>
      <c r="B232" s="95"/>
      <c r="C232" s="95"/>
      <c r="D232" s="94"/>
      <c r="E232" s="94"/>
      <c r="F232" s="94"/>
      <c r="G232" s="94"/>
      <c r="H232" s="94"/>
      <c r="I232" s="94"/>
      <c r="J232" s="94"/>
      <c r="K232" s="94"/>
      <c r="L232" s="94"/>
      <c r="M232" s="94"/>
      <c r="N232" s="94"/>
      <c r="O232" s="94"/>
      <c r="P232" s="94"/>
      <c r="Q232" s="94"/>
      <c r="R232" s="94"/>
      <c r="S232" s="94"/>
      <c r="T232" s="94"/>
      <c r="U232" s="94"/>
      <c r="V232" s="94"/>
      <c r="W232" s="94"/>
    </row>
    <row r="233" spans="1:23">
      <c r="A233" s="97" t="s">
        <v>277</v>
      </c>
      <c r="B233" s="97"/>
      <c r="C233" s="115"/>
      <c r="D233" s="115">
        <f t="shared" ref="D233:J233" si="32">SUM(D174:D229)+D230-D231</f>
        <v>0</v>
      </c>
      <c r="E233" s="115">
        <f t="shared" si="32"/>
        <v>0</v>
      </c>
      <c r="F233" s="115">
        <f t="shared" si="32"/>
        <v>0</v>
      </c>
      <c r="G233" s="115">
        <f t="shared" si="32"/>
        <v>0</v>
      </c>
      <c r="H233" s="115">
        <f t="shared" si="32"/>
        <v>0</v>
      </c>
      <c r="I233" s="115">
        <f t="shared" si="32"/>
        <v>0</v>
      </c>
      <c r="J233" s="115">
        <f t="shared" si="32"/>
        <v>0</v>
      </c>
      <c r="K233" s="94"/>
      <c r="L233" s="94"/>
      <c r="M233" s="94"/>
      <c r="N233" s="94"/>
      <c r="O233" s="94"/>
      <c r="P233" s="94"/>
      <c r="Q233" s="94"/>
      <c r="R233" s="94"/>
      <c r="S233" s="94"/>
      <c r="T233" s="94"/>
      <c r="U233" s="94"/>
      <c r="V233" s="94"/>
      <c r="W233" s="94"/>
    </row>
    <row r="234" spans="1:23">
      <c r="A234" s="95"/>
      <c r="B234" s="95"/>
      <c r="C234" s="96"/>
      <c r="D234" s="96"/>
      <c r="E234" s="96"/>
      <c r="F234" s="96"/>
      <c r="G234" s="96"/>
      <c r="H234" s="96"/>
      <c r="I234" s="96"/>
      <c r="J234" s="96"/>
      <c r="K234" s="94"/>
      <c r="L234" s="94"/>
      <c r="M234" s="94"/>
      <c r="N234" s="94"/>
      <c r="O234" s="94"/>
      <c r="P234" s="94"/>
      <c r="Q234" s="94"/>
      <c r="R234" s="94"/>
      <c r="S234" s="94"/>
      <c r="T234" s="94"/>
      <c r="U234" s="94"/>
      <c r="V234" s="94"/>
      <c r="W234" s="94"/>
    </row>
    <row r="235" spans="1:23">
      <c r="A235" s="97" t="s">
        <v>264</v>
      </c>
      <c r="B235" s="97"/>
      <c r="C235" s="96"/>
      <c r="D235" s="96"/>
      <c r="E235" s="96"/>
      <c r="F235" s="96"/>
      <c r="G235" s="96"/>
      <c r="H235" s="96"/>
      <c r="I235" s="96"/>
      <c r="J235" s="96"/>
      <c r="K235" s="94"/>
      <c r="L235" s="94"/>
      <c r="M235" s="94"/>
      <c r="N235" s="94"/>
      <c r="O235" s="94"/>
      <c r="P235" s="94"/>
      <c r="Q235" s="94"/>
      <c r="R235" s="94"/>
      <c r="S235" s="94"/>
      <c r="T235" s="94"/>
      <c r="U235" s="94"/>
      <c r="V235" s="94"/>
      <c r="W235" s="94"/>
    </row>
    <row r="236" spans="1:23">
      <c r="A236" s="95" t="s">
        <v>282</v>
      </c>
      <c r="B236" s="95">
        <v>12</v>
      </c>
      <c r="C236" s="256"/>
      <c r="D236" s="96">
        <f t="shared" ref="D236:J236" si="33">$B$236*$C$236*D109</f>
        <v>0</v>
      </c>
      <c r="E236" s="96">
        <f t="shared" si="33"/>
        <v>0</v>
      </c>
      <c r="F236" s="96">
        <f t="shared" si="33"/>
        <v>0</v>
      </c>
      <c r="G236" s="96">
        <f t="shared" si="33"/>
        <v>0</v>
      </c>
      <c r="H236" s="96">
        <f t="shared" si="33"/>
        <v>0</v>
      </c>
      <c r="I236" s="96">
        <f t="shared" si="33"/>
        <v>0</v>
      </c>
      <c r="J236" s="96">
        <f t="shared" si="33"/>
        <v>0</v>
      </c>
      <c r="K236" s="94"/>
      <c r="L236" s="94"/>
      <c r="M236" s="94"/>
      <c r="N236" s="94"/>
      <c r="O236" s="94"/>
      <c r="P236" s="94"/>
      <c r="Q236" s="94"/>
      <c r="R236" s="94"/>
      <c r="S236" s="94"/>
      <c r="T236" s="94"/>
      <c r="U236" s="94"/>
      <c r="V236" s="94"/>
      <c r="W236" s="94"/>
    </row>
    <row r="237" spans="1:23">
      <c r="A237" s="95" t="s">
        <v>283</v>
      </c>
      <c r="B237" s="232">
        <v>1</v>
      </c>
      <c r="C237" s="256"/>
      <c r="D237" s="96">
        <f t="shared" ref="D237:J237" si="34">$B$237*$C$237*12*D109</f>
        <v>0</v>
      </c>
      <c r="E237" s="96">
        <f t="shared" si="34"/>
        <v>0</v>
      </c>
      <c r="F237" s="96">
        <f t="shared" si="34"/>
        <v>0</v>
      </c>
      <c r="G237" s="96">
        <f t="shared" si="34"/>
        <v>0</v>
      </c>
      <c r="H237" s="96">
        <f t="shared" si="34"/>
        <v>0</v>
      </c>
      <c r="I237" s="96">
        <f t="shared" si="34"/>
        <v>0</v>
      </c>
      <c r="J237" s="96">
        <f t="shared" si="34"/>
        <v>0</v>
      </c>
      <c r="K237" s="94"/>
      <c r="L237" s="94"/>
      <c r="M237" s="94"/>
      <c r="N237" s="94"/>
      <c r="O237" s="94"/>
      <c r="P237" s="94"/>
      <c r="Q237" s="94"/>
      <c r="R237" s="94"/>
      <c r="S237" s="94"/>
      <c r="T237" s="94"/>
      <c r="U237" s="94"/>
      <c r="V237" s="94"/>
      <c r="W237" s="94"/>
    </row>
    <row r="238" spans="1:23">
      <c r="A238" s="95" t="s">
        <v>158</v>
      </c>
      <c r="B238" s="232">
        <v>1</v>
      </c>
      <c r="C238" s="256"/>
      <c r="D238" s="96">
        <f t="shared" ref="D238:J238" si="35">$B$238*$C$238*12*D109</f>
        <v>0</v>
      </c>
      <c r="E238" s="96">
        <f t="shared" si="35"/>
        <v>0</v>
      </c>
      <c r="F238" s="96">
        <f t="shared" si="35"/>
        <v>0</v>
      </c>
      <c r="G238" s="96">
        <f t="shared" si="35"/>
        <v>0</v>
      </c>
      <c r="H238" s="96">
        <f t="shared" si="35"/>
        <v>0</v>
      </c>
      <c r="I238" s="96">
        <f t="shared" si="35"/>
        <v>0</v>
      </c>
      <c r="J238" s="96">
        <f t="shared" si="35"/>
        <v>0</v>
      </c>
      <c r="K238" s="94"/>
      <c r="L238" s="94"/>
      <c r="M238" s="94"/>
      <c r="N238" s="94"/>
      <c r="O238" s="94"/>
      <c r="P238" s="94"/>
      <c r="Q238" s="94"/>
      <c r="R238" s="94"/>
      <c r="S238" s="94"/>
      <c r="T238" s="94"/>
      <c r="U238" s="94"/>
      <c r="V238" s="94"/>
      <c r="W238" s="94"/>
    </row>
    <row r="239" spans="1:23">
      <c r="A239" s="95" t="s">
        <v>284</v>
      </c>
      <c r="B239" s="95">
        <v>12</v>
      </c>
      <c r="C239" s="256"/>
      <c r="D239" s="96">
        <f t="shared" ref="D239:J239" si="36">$B$239*$C$239*D109</f>
        <v>0</v>
      </c>
      <c r="E239" s="96">
        <f t="shared" si="36"/>
        <v>0</v>
      </c>
      <c r="F239" s="96">
        <f t="shared" si="36"/>
        <v>0</v>
      </c>
      <c r="G239" s="96">
        <f t="shared" si="36"/>
        <v>0</v>
      </c>
      <c r="H239" s="96">
        <f t="shared" si="36"/>
        <v>0</v>
      </c>
      <c r="I239" s="96">
        <f t="shared" si="36"/>
        <v>0</v>
      </c>
      <c r="J239" s="96">
        <f t="shared" si="36"/>
        <v>0</v>
      </c>
      <c r="K239" s="94"/>
      <c r="L239" s="94"/>
      <c r="M239" s="94"/>
      <c r="N239" s="94"/>
      <c r="O239" s="94"/>
      <c r="P239" s="94"/>
      <c r="Q239" s="94"/>
      <c r="R239" s="94"/>
      <c r="S239" s="94"/>
      <c r="T239" s="94"/>
      <c r="U239" s="94"/>
      <c r="V239" s="94"/>
      <c r="W239" s="94"/>
    </row>
    <row r="240" spans="1:23">
      <c r="A240" s="95"/>
      <c r="B240" s="95"/>
      <c r="C240" s="256"/>
      <c r="D240" s="96"/>
      <c r="E240" s="96"/>
      <c r="F240" s="96"/>
      <c r="G240" s="96"/>
      <c r="H240" s="96"/>
      <c r="I240" s="96"/>
      <c r="J240" s="96"/>
      <c r="K240" s="94"/>
      <c r="L240" s="94"/>
      <c r="M240" s="94"/>
      <c r="N240" s="94"/>
      <c r="O240" s="94"/>
      <c r="P240" s="94"/>
      <c r="Q240" s="94"/>
      <c r="R240" s="94"/>
      <c r="S240" s="94"/>
      <c r="T240" s="94"/>
      <c r="U240" s="94"/>
      <c r="V240" s="94"/>
      <c r="W240" s="94"/>
    </row>
    <row r="241" spans="1:23">
      <c r="A241" s="95"/>
      <c r="B241" s="95"/>
      <c r="C241" s="256"/>
      <c r="D241" s="96"/>
      <c r="E241" s="96"/>
      <c r="F241" s="96"/>
      <c r="G241" s="96"/>
      <c r="H241" s="96"/>
      <c r="I241" s="96"/>
      <c r="J241" s="96"/>
      <c r="K241" s="94"/>
      <c r="L241" s="94"/>
      <c r="M241" s="94"/>
      <c r="N241" s="94"/>
      <c r="O241" s="94"/>
      <c r="P241" s="94"/>
      <c r="Q241" s="94"/>
      <c r="R241" s="94"/>
      <c r="S241" s="94"/>
      <c r="T241" s="94"/>
      <c r="U241" s="94"/>
      <c r="V241" s="94"/>
      <c r="W241" s="94"/>
    </row>
    <row r="242" spans="1:23">
      <c r="A242" s="95"/>
      <c r="B242" s="95"/>
      <c r="C242" s="256"/>
      <c r="D242" s="96"/>
      <c r="E242" s="96"/>
      <c r="F242" s="96"/>
      <c r="G242" s="96"/>
      <c r="H242" s="96"/>
      <c r="I242" s="96"/>
      <c r="J242" s="96"/>
      <c r="K242" s="94"/>
      <c r="L242" s="94"/>
      <c r="M242" s="94"/>
      <c r="N242" s="94"/>
      <c r="O242" s="94"/>
      <c r="P242" s="94"/>
      <c r="Q242" s="94"/>
      <c r="R242" s="94"/>
      <c r="S242" s="94"/>
      <c r="T242" s="94"/>
      <c r="U242" s="94"/>
      <c r="V242" s="94"/>
      <c r="W242" s="94"/>
    </row>
    <row r="243" spans="1:23">
      <c r="A243" s="95"/>
      <c r="B243" s="95"/>
      <c r="C243" s="256"/>
      <c r="D243" s="96"/>
      <c r="E243" s="96"/>
      <c r="F243" s="96"/>
      <c r="G243" s="96"/>
      <c r="H243" s="96"/>
      <c r="I243" s="96"/>
      <c r="J243" s="96"/>
      <c r="K243" s="94"/>
      <c r="L243" s="94"/>
      <c r="M243" s="94"/>
      <c r="N243" s="94"/>
      <c r="O243" s="94"/>
      <c r="P243" s="94"/>
      <c r="Q243" s="94"/>
      <c r="R243" s="94"/>
      <c r="S243" s="94"/>
      <c r="T243" s="94"/>
      <c r="U243" s="94"/>
      <c r="V243" s="94"/>
      <c r="W243" s="94"/>
    </row>
    <row r="244" spans="1:23">
      <c r="A244" s="97" t="s">
        <v>281</v>
      </c>
      <c r="B244" s="97"/>
      <c r="C244" s="115"/>
      <c r="D244" s="115">
        <f>SUM(D236:D243)</f>
        <v>0</v>
      </c>
      <c r="E244" s="115">
        <f t="shared" ref="E244:J244" si="37">SUM(E236:E243)</f>
        <v>0</v>
      </c>
      <c r="F244" s="115">
        <f t="shared" si="37"/>
        <v>0</v>
      </c>
      <c r="G244" s="115">
        <f t="shared" si="37"/>
        <v>0</v>
      </c>
      <c r="H244" s="115">
        <f t="shared" si="37"/>
        <v>0</v>
      </c>
      <c r="I244" s="115">
        <f t="shared" si="37"/>
        <v>0</v>
      </c>
      <c r="J244" s="115">
        <f t="shared" si="37"/>
        <v>0</v>
      </c>
      <c r="K244" s="94"/>
      <c r="L244" s="94"/>
      <c r="M244" s="94"/>
      <c r="N244" s="94"/>
      <c r="O244" s="94"/>
      <c r="P244" s="94"/>
      <c r="Q244" s="94"/>
      <c r="R244" s="94"/>
      <c r="S244" s="94"/>
      <c r="T244" s="94"/>
      <c r="U244" s="94"/>
      <c r="V244" s="94"/>
      <c r="W244" s="94"/>
    </row>
    <row r="245" spans="1:23">
      <c r="A245" s="196" t="s">
        <v>100</v>
      </c>
      <c r="B245" s="196"/>
      <c r="C245" s="208"/>
      <c r="D245" s="115">
        <f t="shared" ref="D245:J245" si="38">D233+D244</f>
        <v>0</v>
      </c>
      <c r="E245" s="115">
        <f t="shared" si="38"/>
        <v>0</v>
      </c>
      <c r="F245" s="115">
        <f t="shared" si="38"/>
        <v>0</v>
      </c>
      <c r="G245" s="115">
        <f t="shared" si="38"/>
        <v>0</v>
      </c>
      <c r="H245" s="115">
        <f t="shared" si="38"/>
        <v>0</v>
      </c>
      <c r="I245" s="115">
        <f t="shared" si="38"/>
        <v>0</v>
      </c>
      <c r="J245" s="115">
        <f t="shared" si="38"/>
        <v>0</v>
      </c>
      <c r="K245" s="94"/>
      <c r="L245" s="94"/>
      <c r="M245" s="94"/>
      <c r="N245" s="94"/>
      <c r="O245" s="94"/>
      <c r="P245" s="94"/>
      <c r="Q245" s="94"/>
      <c r="R245" s="94"/>
      <c r="S245" s="94"/>
      <c r="T245" s="94"/>
      <c r="U245" s="94"/>
      <c r="V245" s="94"/>
      <c r="W245" s="94"/>
    </row>
    <row r="246" spans="1:23">
      <c r="A246" s="95"/>
      <c r="B246" s="95"/>
      <c r="C246" s="96"/>
      <c r="D246" s="96"/>
      <c r="E246" s="96"/>
      <c r="F246" s="96"/>
      <c r="G246" s="96"/>
      <c r="H246" s="96"/>
      <c r="I246" s="96"/>
      <c r="J246" s="96"/>
      <c r="K246" s="94"/>
      <c r="L246" s="94"/>
      <c r="M246" s="94"/>
      <c r="N246" s="94"/>
      <c r="O246" s="94"/>
      <c r="P246" s="94"/>
      <c r="Q246" s="94"/>
      <c r="R246" s="94"/>
      <c r="S246" s="94"/>
      <c r="T246" s="94"/>
      <c r="U246" s="94"/>
      <c r="V246" s="94"/>
      <c r="W246" s="94"/>
    </row>
    <row r="247" spans="1:23">
      <c r="A247" s="196" t="s">
        <v>7</v>
      </c>
      <c r="B247" s="196"/>
      <c r="C247" s="208"/>
      <c r="D247" s="115">
        <f t="shared" ref="D247:J247" si="39">D168-D245</f>
        <v>0</v>
      </c>
      <c r="E247" s="115">
        <f t="shared" si="39"/>
        <v>0</v>
      </c>
      <c r="F247" s="115">
        <f t="shared" si="39"/>
        <v>0</v>
      </c>
      <c r="G247" s="115">
        <f t="shared" si="39"/>
        <v>0</v>
      </c>
      <c r="H247" s="115">
        <f t="shared" si="39"/>
        <v>0</v>
      </c>
      <c r="I247" s="115">
        <f t="shared" si="39"/>
        <v>0</v>
      </c>
      <c r="J247" s="115">
        <f t="shared" si="39"/>
        <v>0</v>
      </c>
      <c r="K247" s="94"/>
      <c r="L247" s="94"/>
      <c r="M247" s="94"/>
      <c r="N247" s="94"/>
      <c r="O247" s="94"/>
      <c r="P247" s="94"/>
      <c r="Q247" s="94"/>
      <c r="R247" s="94"/>
      <c r="S247" s="94"/>
      <c r="T247" s="94"/>
      <c r="U247" s="94"/>
      <c r="V247" s="94"/>
      <c r="W247" s="94"/>
    </row>
    <row r="248" spans="1:23">
      <c r="A248" s="116"/>
      <c r="B248" s="116"/>
      <c r="C248" s="116"/>
      <c r="D248" s="94"/>
      <c r="E248" s="94"/>
      <c r="F248" s="94"/>
      <c r="G248" s="94"/>
      <c r="H248" s="94"/>
      <c r="I248" s="94"/>
      <c r="J248" s="94"/>
      <c r="K248" s="94"/>
      <c r="L248" s="94"/>
      <c r="M248" s="94"/>
      <c r="N248" s="94"/>
      <c r="O248" s="94"/>
      <c r="P248" s="94"/>
      <c r="Q248" s="94"/>
      <c r="R248" s="94"/>
      <c r="S248" s="94"/>
      <c r="T248" s="94"/>
      <c r="U248" s="94"/>
      <c r="V248" s="94"/>
      <c r="W248" s="94"/>
    </row>
    <row r="249" spans="1:23">
      <c r="A249" s="94"/>
      <c r="B249" s="94"/>
      <c r="C249" s="94"/>
      <c r="D249" s="94"/>
      <c r="E249" s="94"/>
      <c r="F249" s="94"/>
      <c r="G249" s="94"/>
      <c r="H249" s="94"/>
      <c r="I249" s="94"/>
      <c r="J249" s="94"/>
      <c r="K249" s="94"/>
      <c r="L249" s="94"/>
      <c r="M249" s="94"/>
      <c r="N249" s="94"/>
      <c r="O249" s="94"/>
      <c r="P249" s="94"/>
      <c r="Q249" s="94"/>
      <c r="R249" s="94"/>
      <c r="S249" s="94"/>
      <c r="T249" s="94"/>
      <c r="U249" s="94"/>
      <c r="V249" s="94"/>
      <c r="W249" s="94"/>
    </row>
    <row r="250" spans="1:23">
      <c r="A250" s="402" t="s">
        <v>382</v>
      </c>
      <c r="B250" s="402"/>
      <c r="C250" s="402"/>
      <c r="D250" s="402"/>
      <c r="E250" s="402"/>
      <c r="F250" s="402"/>
      <c r="G250" s="402"/>
      <c r="H250" s="402"/>
      <c r="I250" s="402"/>
      <c r="J250" s="402"/>
    </row>
    <row r="252" spans="1:23">
      <c r="A252" t="s">
        <v>492</v>
      </c>
    </row>
    <row r="253" spans="1:23">
      <c r="A253">
        <v>1</v>
      </c>
      <c r="B253" t="s">
        <v>505</v>
      </c>
    </row>
    <row r="254" spans="1:23">
      <c r="A254">
        <v>2</v>
      </c>
      <c r="B254" t="s">
        <v>506</v>
      </c>
    </row>
    <row r="255" spans="1:23">
      <c r="A255">
        <v>3</v>
      </c>
      <c r="B255" s="94" t="s">
        <v>557</v>
      </c>
    </row>
  </sheetData>
  <mergeCells count="3">
    <mergeCell ref="A107:J107"/>
    <mergeCell ref="A2:I2"/>
    <mergeCell ref="A250:J250"/>
  </mergeCells>
  <pageMargins left="0.7" right="0.7" top="0.75" bottom="0.75" header="0.3" footer="0.3"/>
  <pageSetup scale="55"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S196"/>
  <sheetViews>
    <sheetView tabSelected="1" view="pageBreakPreview" topLeftCell="A147" zoomScale="85" zoomScaleNormal="100" zoomScaleSheetLayoutView="85" workbookViewId="0">
      <selection activeCell="L188" sqref="L188"/>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 min="12" max="12" width="23.140625" customWidth="1"/>
    <col min="13" max="18" width="13.42578125" bestFit="1" customWidth="1"/>
    <col min="19" max="19" width="14.5703125" bestFit="1" customWidth="1"/>
  </cols>
  <sheetData>
    <row r="3" spans="1:8" ht="18.75">
      <c r="A3" s="425" t="s">
        <v>552</v>
      </c>
      <c r="B3" s="425"/>
      <c r="C3" s="425"/>
      <c r="D3" s="425"/>
      <c r="E3" s="425"/>
      <c r="F3" s="425"/>
      <c r="G3" s="425"/>
      <c r="H3" s="425"/>
    </row>
    <row r="4" spans="1:8" ht="18.75">
      <c r="A4" s="425" t="s">
        <v>553</v>
      </c>
      <c r="B4" s="425"/>
      <c r="C4" s="425"/>
      <c r="D4" s="425"/>
      <c r="E4" s="425"/>
      <c r="F4" s="425"/>
      <c r="G4" s="425"/>
      <c r="H4" s="425"/>
    </row>
    <row r="5" spans="1:8">
      <c r="A5" s="94" t="s">
        <v>126</v>
      </c>
      <c r="B5" s="249">
        <v>1</v>
      </c>
      <c r="C5" s="94" t="s">
        <v>436</v>
      </c>
      <c r="D5" s="94"/>
      <c r="E5" s="94"/>
      <c r="F5" s="94"/>
      <c r="G5" s="94"/>
      <c r="H5" s="94"/>
    </row>
    <row r="6" spans="1:8">
      <c r="A6" s="94" t="s">
        <v>127</v>
      </c>
      <c r="B6" s="282">
        <v>8</v>
      </c>
      <c r="C6" s="94"/>
      <c r="D6" s="94"/>
      <c r="E6" s="94"/>
      <c r="F6" s="94"/>
      <c r="G6" s="94"/>
      <c r="H6" s="94"/>
    </row>
    <row r="7" spans="1:8">
      <c r="A7" s="94"/>
      <c r="B7" s="282"/>
      <c r="C7" s="94"/>
      <c r="D7" s="94"/>
      <c r="E7" s="94"/>
      <c r="F7" s="94"/>
      <c r="G7" s="94"/>
      <c r="H7" s="94"/>
    </row>
    <row r="8" spans="1:8">
      <c r="A8" s="94"/>
      <c r="B8" s="282"/>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134</v>
      </c>
      <c r="H11" s="83" t="s">
        <v>133</v>
      </c>
    </row>
    <row r="12" spans="1:8">
      <c r="A12" s="95" t="s">
        <v>135</v>
      </c>
      <c r="B12" s="316">
        <f>B39/($B$5*$B$6)</f>
        <v>220.73205000000002</v>
      </c>
      <c r="C12" s="316">
        <f t="shared" ref="C12:H12" si="0">C39/($B$5*$B$6)</f>
        <v>225.74868750000002</v>
      </c>
      <c r="D12" s="316">
        <f t="shared" si="0"/>
        <v>230.76532500000002</v>
      </c>
      <c r="E12" s="316">
        <f t="shared" si="0"/>
        <v>235.78196250000002</v>
      </c>
      <c r="F12" s="316">
        <f t="shared" si="0"/>
        <v>240.79860000000002</v>
      </c>
      <c r="G12" s="316">
        <f t="shared" si="0"/>
        <v>245.81523750000005</v>
      </c>
      <c r="H12" s="316">
        <f t="shared" si="0"/>
        <v>250.83187500000003</v>
      </c>
    </row>
    <row r="13" spans="1:8">
      <c r="A13" s="95" t="str">
        <f>'11.F&amp;V Crop Production details'!A66</f>
        <v>Mango</v>
      </c>
      <c r="B13" s="396">
        <f>'11.F&amp;V Crop Production details'!B66</f>
        <v>1027.54575</v>
      </c>
      <c r="C13" s="396">
        <f>'11.F&amp;V Crop Production details'!C66</f>
        <v>1050.8990625000001</v>
      </c>
      <c r="D13" s="396">
        <f>'11.F&amp;V Crop Production details'!D66</f>
        <v>1074.252375</v>
      </c>
      <c r="E13" s="396">
        <f>'11.F&amp;V Crop Production details'!E66</f>
        <v>1097.6056875000002</v>
      </c>
      <c r="F13" s="396">
        <f>'11.F&amp;V Crop Production details'!F66</f>
        <v>1120.9590000000003</v>
      </c>
      <c r="G13" s="396">
        <f>'11.F&amp;V Crop Production details'!G66</f>
        <v>1144.3123125000004</v>
      </c>
      <c r="H13" s="396">
        <f>'11.F&amp;V Crop Production details'!H66</f>
        <v>1167.6656250000003</v>
      </c>
    </row>
    <row r="14" spans="1:8">
      <c r="A14" s="95" t="str">
        <f>'11.F&amp;V Crop Production details'!A67</f>
        <v>Custard Apple</v>
      </c>
      <c r="B14" s="396">
        <f>'11.F&amp;V Crop Production details'!B67</f>
        <v>433.85264999999998</v>
      </c>
      <c r="C14" s="396">
        <f>'11.F&amp;V Crop Production details'!C67</f>
        <v>443.71293750000001</v>
      </c>
      <c r="D14" s="396">
        <f>'11.F&amp;V Crop Production details'!D67</f>
        <v>453.57322499999998</v>
      </c>
      <c r="E14" s="396">
        <f>'11.F&amp;V Crop Production details'!E67</f>
        <v>463.43351250000001</v>
      </c>
      <c r="F14" s="396">
        <f>'11.F&amp;V Crop Production details'!F67</f>
        <v>473.29380000000003</v>
      </c>
      <c r="G14" s="396">
        <f>'11.F&amp;V Crop Production details'!G67</f>
        <v>483.1540875</v>
      </c>
      <c r="H14" s="396">
        <f>'11.F&amp;V Crop Production details'!H67</f>
        <v>493.01437499999997</v>
      </c>
    </row>
    <row r="15" spans="1:8">
      <c r="A15" s="95" t="str">
        <f>'11.F&amp;V Crop Production details'!A68</f>
        <v>Guava</v>
      </c>
      <c r="B15" s="396">
        <f>'11.F&amp;V Crop Production details'!B68</f>
        <v>304.45799999999997</v>
      </c>
      <c r="C15" s="396">
        <f>'11.F&amp;V Crop Production details'!C68</f>
        <v>311.3775</v>
      </c>
      <c r="D15" s="396">
        <f>'11.F&amp;V Crop Production details'!D68</f>
        <v>318.29699999999997</v>
      </c>
      <c r="E15" s="396">
        <f>'11.F&amp;V Crop Production details'!E68</f>
        <v>325.2165</v>
      </c>
      <c r="F15" s="396">
        <f>'11.F&amp;V Crop Production details'!F68</f>
        <v>332.13599999999997</v>
      </c>
      <c r="G15" s="396">
        <f>'11.F&amp;V Crop Production details'!G68</f>
        <v>339.05549999999999</v>
      </c>
      <c r="H15" s="396">
        <f>'11.F&amp;V Crop Production details'!H68</f>
        <v>345.97499999999997</v>
      </c>
    </row>
    <row r="16" spans="1:8" hidden="1">
      <c r="A16" s="95">
        <f>'11.F&amp;V Crop Production details'!A69</f>
        <v>0</v>
      </c>
      <c r="B16" s="396">
        <f>'11.F&amp;V Crop Production details'!B69</f>
        <v>0</v>
      </c>
      <c r="C16" s="396">
        <f>'11.F&amp;V Crop Production details'!C69</f>
        <v>0</v>
      </c>
      <c r="D16" s="396">
        <f>'11.F&amp;V Crop Production details'!D69</f>
        <v>0</v>
      </c>
      <c r="E16" s="396">
        <f>'11.F&amp;V Crop Production details'!E69</f>
        <v>0</v>
      </c>
      <c r="F16" s="396">
        <f>'11.F&amp;V Crop Production details'!F69</f>
        <v>0</v>
      </c>
      <c r="G16" s="396">
        <f>'11.F&amp;V Crop Production details'!G69</f>
        <v>0</v>
      </c>
      <c r="H16" s="396">
        <f>'11.F&amp;V Crop Production details'!H69</f>
        <v>0</v>
      </c>
    </row>
    <row r="17" spans="1:8" hidden="1">
      <c r="A17" s="95">
        <f>'11.F&amp;V Crop Production details'!A70</f>
        <v>0</v>
      </c>
      <c r="B17" s="396">
        <f>'11.F&amp;V Crop Production details'!B70</f>
        <v>0</v>
      </c>
      <c r="C17" s="396">
        <f>'11.F&amp;V Crop Production details'!C70</f>
        <v>0</v>
      </c>
      <c r="D17" s="396">
        <f>'11.F&amp;V Crop Production details'!D70</f>
        <v>0</v>
      </c>
      <c r="E17" s="396">
        <f>'11.F&amp;V Crop Production details'!E70</f>
        <v>0</v>
      </c>
      <c r="F17" s="396">
        <f>'11.F&amp;V Crop Production details'!F70</f>
        <v>0</v>
      </c>
      <c r="G17" s="396">
        <f>'11.F&amp;V Crop Production details'!G70</f>
        <v>0</v>
      </c>
      <c r="H17" s="396">
        <f>'11.F&amp;V Crop Production details'!H70</f>
        <v>0</v>
      </c>
    </row>
    <row r="18" spans="1:8" hidden="1">
      <c r="A18" s="95">
        <f>'11.F&amp;V Crop Production details'!A71</f>
        <v>0</v>
      </c>
      <c r="B18" s="396">
        <f>'11.F&amp;V Crop Production details'!B71</f>
        <v>0</v>
      </c>
      <c r="C18" s="396">
        <f>'11.F&amp;V Crop Production details'!C71</f>
        <v>0</v>
      </c>
      <c r="D18" s="396">
        <f>'11.F&amp;V Crop Production details'!D71</f>
        <v>0</v>
      </c>
      <c r="E18" s="396">
        <f>'11.F&amp;V Crop Production details'!E71</f>
        <v>0</v>
      </c>
      <c r="F18" s="396">
        <f>'11.F&amp;V Crop Production details'!F71</f>
        <v>0</v>
      </c>
      <c r="G18" s="396">
        <f>'11.F&amp;V Crop Production details'!G71</f>
        <v>0</v>
      </c>
      <c r="H18" s="396">
        <f>'11.F&amp;V Crop Production details'!H71</f>
        <v>0</v>
      </c>
    </row>
    <row r="19" spans="1:8" hidden="1">
      <c r="A19" s="95">
        <f>'11.F&amp;V Crop Production details'!A72</f>
        <v>0</v>
      </c>
      <c r="B19" s="396">
        <f>'11.F&amp;V Crop Production details'!B72</f>
        <v>0</v>
      </c>
      <c r="C19" s="396">
        <f>'11.F&amp;V Crop Production details'!C72</f>
        <v>0</v>
      </c>
      <c r="D19" s="396">
        <f>'11.F&amp;V Crop Production details'!D72</f>
        <v>0</v>
      </c>
      <c r="E19" s="396">
        <f>'11.F&amp;V Crop Production details'!E72</f>
        <v>0</v>
      </c>
      <c r="F19" s="396">
        <f>'11.F&amp;V Crop Production details'!F72</f>
        <v>0</v>
      </c>
      <c r="G19" s="396">
        <f>'11.F&amp;V Crop Production details'!G72</f>
        <v>0</v>
      </c>
      <c r="H19" s="396">
        <f>'11.F&amp;V Crop Production details'!H72</f>
        <v>0</v>
      </c>
    </row>
    <row r="20" spans="1:8" hidden="1">
      <c r="A20" s="95">
        <f>'11.F&amp;V Crop Production details'!A73</f>
        <v>0</v>
      </c>
      <c r="B20" s="396">
        <f>'11.F&amp;V Crop Production details'!B73</f>
        <v>0</v>
      </c>
      <c r="C20" s="396">
        <f>'11.F&amp;V Crop Production details'!C73</f>
        <v>0</v>
      </c>
      <c r="D20" s="396">
        <f>'11.F&amp;V Crop Production details'!D73</f>
        <v>0</v>
      </c>
      <c r="E20" s="396">
        <f>'11.F&amp;V Crop Production details'!E73</f>
        <v>0</v>
      </c>
      <c r="F20" s="396">
        <f>'11.F&amp;V Crop Production details'!F73</f>
        <v>0</v>
      </c>
      <c r="G20" s="396">
        <f>'11.F&amp;V Crop Production details'!G73</f>
        <v>0</v>
      </c>
      <c r="H20" s="396">
        <f>'11.F&amp;V Crop Production details'!H73</f>
        <v>0</v>
      </c>
    </row>
    <row r="21" spans="1:8" hidden="1">
      <c r="A21" s="95">
        <f>'11.F&amp;V Crop Production details'!A74</f>
        <v>0</v>
      </c>
      <c r="B21" s="396">
        <f>'11.F&amp;V Crop Production details'!B74</f>
        <v>0</v>
      </c>
      <c r="C21" s="396">
        <f>'11.F&amp;V Crop Production details'!C74</f>
        <v>0</v>
      </c>
      <c r="D21" s="396">
        <f>'11.F&amp;V Crop Production details'!D74</f>
        <v>0</v>
      </c>
      <c r="E21" s="396">
        <f>'11.F&amp;V Crop Production details'!E74</f>
        <v>0</v>
      </c>
      <c r="F21" s="396">
        <f>'11.F&amp;V Crop Production details'!F74</f>
        <v>0</v>
      </c>
      <c r="G21" s="396">
        <f>'11.F&amp;V Crop Production details'!G74</f>
        <v>0</v>
      </c>
      <c r="H21" s="396">
        <f>'11.F&amp;V Crop Production details'!H74</f>
        <v>0</v>
      </c>
    </row>
    <row r="22" spans="1:8" hidden="1">
      <c r="A22" s="95">
        <f>'11.F&amp;V Crop Production details'!A75</f>
        <v>0</v>
      </c>
      <c r="B22" s="396">
        <f>'11.F&amp;V Crop Production details'!B75</f>
        <v>0</v>
      </c>
      <c r="C22" s="396">
        <f>'11.F&amp;V Crop Production details'!C75</f>
        <v>0</v>
      </c>
      <c r="D22" s="396">
        <f>'11.F&amp;V Crop Production details'!D75</f>
        <v>0</v>
      </c>
      <c r="E22" s="396">
        <f>'11.F&amp;V Crop Production details'!E75</f>
        <v>0</v>
      </c>
      <c r="F22" s="396">
        <f>'11.F&amp;V Crop Production details'!F75</f>
        <v>0</v>
      </c>
      <c r="G22" s="396">
        <f>'11.F&amp;V Crop Production details'!G75</f>
        <v>0</v>
      </c>
      <c r="H22" s="396">
        <f>'11.F&amp;V Crop Production details'!H75</f>
        <v>0</v>
      </c>
    </row>
    <row r="23" spans="1:8" hidden="1">
      <c r="A23" s="95">
        <f>'11.F&amp;V Crop Production details'!A76</f>
        <v>0</v>
      </c>
      <c r="B23" s="396">
        <f>'11.F&amp;V Crop Production details'!B76</f>
        <v>0</v>
      </c>
      <c r="C23" s="396">
        <f>'11.F&amp;V Crop Production details'!C76</f>
        <v>0</v>
      </c>
      <c r="D23" s="396">
        <f>'11.F&amp;V Crop Production details'!D76</f>
        <v>0</v>
      </c>
      <c r="E23" s="396">
        <f>'11.F&amp;V Crop Production details'!E76</f>
        <v>0</v>
      </c>
      <c r="F23" s="396">
        <f>'11.F&amp;V Crop Production details'!F76</f>
        <v>0</v>
      </c>
      <c r="G23" s="396">
        <f>'11.F&amp;V Crop Production details'!G76</f>
        <v>0</v>
      </c>
      <c r="H23" s="396">
        <f>'11.F&amp;V Crop Production details'!H76</f>
        <v>0</v>
      </c>
    </row>
    <row r="24" spans="1:8" hidden="1">
      <c r="A24" s="95">
        <f>'11.F&amp;V Crop Production details'!A77</f>
        <v>0</v>
      </c>
      <c r="B24" s="396">
        <f>'11.F&amp;V Crop Production details'!B77</f>
        <v>0</v>
      </c>
      <c r="C24" s="396">
        <f>'11.F&amp;V Crop Production details'!C77</f>
        <v>0</v>
      </c>
      <c r="D24" s="396">
        <f>'11.F&amp;V Crop Production details'!D77</f>
        <v>0</v>
      </c>
      <c r="E24" s="396">
        <f>'11.F&amp;V Crop Production details'!E77</f>
        <v>0</v>
      </c>
      <c r="F24" s="396">
        <f>'11.F&amp;V Crop Production details'!F77</f>
        <v>0</v>
      </c>
      <c r="G24" s="396">
        <f>'11.F&amp;V Crop Production details'!G77</f>
        <v>0</v>
      </c>
      <c r="H24" s="396">
        <f>'11.F&amp;V Crop Production details'!H77</f>
        <v>0</v>
      </c>
    </row>
    <row r="25" spans="1:8" ht="14.25" hidden="1" customHeight="1">
      <c r="A25" s="95"/>
      <c r="B25" s="396"/>
      <c r="C25" s="396"/>
      <c r="D25" s="396"/>
      <c r="E25" s="396"/>
      <c r="F25" s="396"/>
      <c r="G25" s="396"/>
      <c r="H25" s="396"/>
    </row>
    <row r="26" spans="1:8" hidden="1">
      <c r="A26" s="95"/>
      <c r="B26" s="396"/>
      <c r="C26" s="396"/>
      <c r="D26" s="396"/>
      <c r="E26" s="396"/>
      <c r="F26" s="396"/>
      <c r="G26" s="396"/>
      <c r="H26" s="396"/>
    </row>
    <row r="27" spans="1:8" hidden="1">
      <c r="A27" s="95"/>
      <c r="B27" s="396"/>
      <c r="C27" s="396"/>
      <c r="D27" s="396"/>
      <c r="E27" s="396"/>
      <c r="F27" s="396"/>
      <c r="G27" s="396"/>
      <c r="H27" s="396"/>
    </row>
    <row r="28" spans="1:8" hidden="1">
      <c r="A28" s="95"/>
      <c r="B28" s="396"/>
      <c r="C28" s="396"/>
      <c r="D28" s="396"/>
      <c r="E28" s="396"/>
      <c r="F28" s="396"/>
      <c r="G28" s="396"/>
      <c r="H28" s="396"/>
    </row>
    <row r="29" spans="1:8" hidden="1">
      <c r="A29" s="95"/>
      <c r="B29" s="396"/>
      <c r="C29" s="396"/>
      <c r="D29" s="396"/>
      <c r="E29" s="396"/>
      <c r="F29" s="396"/>
      <c r="G29" s="396"/>
      <c r="H29" s="396"/>
    </row>
    <row r="30" spans="1:8" hidden="1">
      <c r="A30" s="95" t="e">
        <f>'11.F&amp;V Crop Production details'!#REF!</f>
        <v>#REF!</v>
      </c>
      <c r="B30" s="396" t="e">
        <f>'11.F&amp;V Crop Production details'!#REF!</f>
        <v>#REF!</v>
      </c>
      <c r="C30" s="396" t="e">
        <f>'11.F&amp;V Crop Production details'!#REF!</f>
        <v>#REF!</v>
      </c>
      <c r="D30" s="396" t="e">
        <f>'11.F&amp;V Crop Production details'!#REF!</f>
        <v>#REF!</v>
      </c>
      <c r="E30" s="396" t="e">
        <f>'11.F&amp;V Crop Production details'!#REF!</f>
        <v>#REF!</v>
      </c>
      <c r="F30" s="396" t="e">
        <f>'11.F&amp;V Crop Production details'!#REF!</f>
        <v>#REF!</v>
      </c>
      <c r="G30" s="396" t="e">
        <f>'11.F&amp;V Crop Production details'!#REF!</f>
        <v>#REF!</v>
      </c>
      <c r="H30" s="396" t="e">
        <f>'11.F&amp;V Crop Production details'!#REF!</f>
        <v>#REF!</v>
      </c>
    </row>
    <row r="31" spans="1:8" hidden="1">
      <c r="A31" s="95">
        <f>'11.F&amp;V Crop Production details'!A79</f>
        <v>0</v>
      </c>
      <c r="B31" s="396">
        <f>'11.F&amp;V Crop Production details'!B79</f>
        <v>0</v>
      </c>
      <c r="C31" s="396">
        <f>'11.F&amp;V Crop Production details'!C79</f>
        <v>0</v>
      </c>
      <c r="D31" s="396">
        <f>'11.F&amp;V Crop Production details'!D79</f>
        <v>0</v>
      </c>
      <c r="E31" s="396">
        <f>'11.F&amp;V Crop Production details'!E79</f>
        <v>0</v>
      </c>
      <c r="F31" s="396">
        <f>'11.F&amp;V Crop Production details'!F79</f>
        <v>0</v>
      </c>
      <c r="G31" s="396">
        <f>'11.F&amp;V Crop Production details'!G79</f>
        <v>0</v>
      </c>
      <c r="H31" s="396">
        <f>'11.F&amp;V Crop Production details'!H79</f>
        <v>0</v>
      </c>
    </row>
    <row r="32" spans="1:8" hidden="1">
      <c r="A32" s="95">
        <f>'11.F&amp;V Crop Production details'!A80</f>
        <v>0</v>
      </c>
      <c r="B32" s="396">
        <f>'11.F&amp;V Crop Production details'!B80</f>
        <v>0</v>
      </c>
      <c r="C32" s="396">
        <f>'11.F&amp;V Crop Production details'!C80</f>
        <v>0</v>
      </c>
      <c r="D32" s="396">
        <f>'11.F&amp;V Crop Production details'!D80</f>
        <v>0</v>
      </c>
      <c r="E32" s="396">
        <f>'11.F&amp;V Crop Production details'!E80</f>
        <v>0</v>
      </c>
      <c r="F32" s="396">
        <f>'11.F&amp;V Crop Production details'!F80</f>
        <v>0</v>
      </c>
      <c r="G32" s="396">
        <f>'11.F&amp;V Crop Production details'!G80</f>
        <v>0</v>
      </c>
      <c r="H32" s="396">
        <f>'11.F&amp;V Crop Production details'!H80</f>
        <v>0</v>
      </c>
    </row>
    <row r="33" spans="1:9" hidden="1">
      <c r="A33" s="95">
        <f>'11.F&amp;V Crop Production details'!A81</f>
        <v>0</v>
      </c>
      <c r="B33" s="396">
        <f>'11.F&amp;V Crop Production details'!B81</f>
        <v>0</v>
      </c>
      <c r="C33" s="396">
        <f>'11.F&amp;V Crop Production details'!C81</f>
        <v>0</v>
      </c>
      <c r="D33" s="396">
        <f>'11.F&amp;V Crop Production details'!D81</f>
        <v>0</v>
      </c>
      <c r="E33" s="396">
        <f>'11.F&amp;V Crop Production details'!E81</f>
        <v>0</v>
      </c>
      <c r="F33" s="396">
        <f>'11.F&amp;V Crop Production details'!F81</f>
        <v>0</v>
      </c>
      <c r="G33" s="396">
        <f>'11.F&amp;V Crop Production details'!G81</f>
        <v>0</v>
      </c>
      <c r="H33" s="396">
        <f>'11.F&amp;V Crop Production details'!H81</f>
        <v>0</v>
      </c>
    </row>
    <row r="34" spans="1:9" hidden="1">
      <c r="A34" s="95">
        <f>'11.F&amp;V Crop Production details'!A82</f>
        <v>0</v>
      </c>
      <c r="B34" s="396">
        <f>'11.F&amp;V Crop Production details'!B82</f>
        <v>0</v>
      </c>
      <c r="C34" s="396">
        <f>'11.F&amp;V Crop Production details'!C82</f>
        <v>0</v>
      </c>
      <c r="D34" s="396">
        <f>'11.F&amp;V Crop Production details'!D82</f>
        <v>0</v>
      </c>
      <c r="E34" s="396">
        <f>'11.F&amp;V Crop Production details'!E82</f>
        <v>0</v>
      </c>
      <c r="F34" s="396">
        <f>'11.F&amp;V Crop Production details'!F82</f>
        <v>0</v>
      </c>
      <c r="G34" s="396">
        <f>'11.F&amp;V Crop Production details'!G82</f>
        <v>0</v>
      </c>
      <c r="H34" s="396">
        <f>'11.F&amp;V Crop Production details'!H82</f>
        <v>0</v>
      </c>
    </row>
    <row r="35" spans="1:9" hidden="1">
      <c r="A35" s="95">
        <f>'11.F&amp;V Crop Production details'!A83</f>
        <v>0</v>
      </c>
      <c r="B35" s="396">
        <f>'11.F&amp;V Crop Production details'!B83</f>
        <v>0</v>
      </c>
      <c r="C35" s="396">
        <f>'11.F&amp;V Crop Production details'!C83</f>
        <v>0</v>
      </c>
      <c r="D35" s="396">
        <f>'11.F&amp;V Crop Production details'!D83</f>
        <v>0</v>
      </c>
      <c r="E35" s="396">
        <f>'11.F&amp;V Crop Production details'!E83</f>
        <v>0</v>
      </c>
      <c r="F35" s="396">
        <f>'11.F&amp;V Crop Production details'!F83</f>
        <v>0</v>
      </c>
      <c r="G35" s="396">
        <f>'11.F&amp;V Crop Production details'!G83</f>
        <v>0</v>
      </c>
      <c r="H35" s="396">
        <f>'11.F&amp;V Crop Production details'!H83</f>
        <v>0</v>
      </c>
    </row>
    <row r="36" spans="1:9" hidden="1">
      <c r="A36" s="95">
        <f>'11.F&amp;V Crop Production details'!A84</f>
        <v>0</v>
      </c>
      <c r="B36" s="396">
        <f>'11.F&amp;V Crop Production details'!B84</f>
        <v>0</v>
      </c>
      <c r="C36" s="396">
        <f>'11.F&amp;V Crop Production details'!C84</f>
        <v>0</v>
      </c>
      <c r="D36" s="396">
        <f>'11.F&amp;V Crop Production details'!D84</f>
        <v>0</v>
      </c>
      <c r="E36" s="396">
        <f>'11.F&amp;V Crop Production details'!E84</f>
        <v>0</v>
      </c>
      <c r="F36" s="396">
        <f>'11.F&amp;V Crop Production details'!F84</f>
        <v>0</v>
      </c>
      <c r="G36" s="396">
        <f>'11.F&amp;V Crop Production details'!G84</f>
        <v>0</v>
      </c>
      <c r="H36" s="396">
        <f>'11.F&amp;V Crop Production details'!H84</f>
        <v>0</v>
      </c>
    </row>
    <row r="37" spans="1:9" hidden="1">
      <c r="A37" s="95">
        <f>'11.F&amp;V Crop Production details'!A85</f>
        <v>0</v>
      </c>
      <c r="B37" s="396">
        <f>'11.F&amp;V Crop Production details'!B85</f>
        <v>0</v>
      </c>
      <c r="C37" s="396">
        <f>'11.F&amp;V Crop Production details'!C85</f>
        <v>0</v>
      </c>
      <c r="D37" s="396">
        <f>'11.F&amp;V Crop Production details'!D85</f>
        <v>0</v>
      </c>
      <c r="E37" s="396">
        <f>'11.F&amp;V Crop Production details'!E85</f>
        <v>0</v>
      </c>
      <c r="F37" s="396">
        <f>'11.F&amp;V Crop Production details'!F85</f>
        <v>0</v>
      </c>
      <c r="G37" s="396">
        <f>'11.F&amp;V Crop Production details'!G85</f>
        <v>0</v>
      </c>
      <c r="H37" s="396">
        <f>'11.F&amp;V Crop Production details'!H85</f>
        <v>0</v>
      </c>
    </row>
    <row r="38" spans="1:9">
      <c r="A38" s="95"/>
      <c r="B38" s="95"/>
      <c r="C38" s="95"/>
      <c r="D38" s="95"/>
      <c r="E38" s="95"/>
      <c r="F38" s="95"/>
      <c r="G38" s="95"/>
      <c r="H38" s="95"/>
    </row>
    <row r="39" spans="1:9">
      <c r="A39" s="95" t="s">
        <v>427</v>
      </c>
      <c r="B39" s="397">
        <f>SUM(B13:B15)</f>
        <v>1765.8564000000001</v>
      </c>
      <c r="C39" s="397">
        <f t="shared" ref="C39:G39" si="1">SUM(C13:C15)</f>
        <v>1805.9895000000001</v>
      </c>
      <c r="D39" s="397">
        <f t="shared" si="1"/>
        <v>1846.1226000000001</v>
      </c>
      <c r="E39" s="397">
        <f t="shared" si="1"/>
        <v>1886.2557000000002</v>
      </c>
      <c r="F39" s="397">
        <f t="shared" si="1"/>
        <v>1926.3888000000002</v>
      </c>
      <c r="G39" s="397">
        <f t="shared" si="1"/>
        <v>1966.5219000000004</v>
      </c>
      <c r="H39" s="397">
        <f>SUM(H13:H15)</f>
        <v>2006.6550000000002</v>
      </c>
    </row>
    <row r="40" spans="1:9">
      <c r="A40" s="326" t="s">
        <v>130</v>
      </c>
      <c r="B40" s="281">
        <v>0</v>
      </c>
      <c r="C40" s="281">
        <f>B40</f>
        <v>0</v>
      </c>
      <c r="D40" s="281">
        <f t="shared" ref="D40:H40" si="2">C40</f>
        <v>0</v>
      </c>
      <c r="E40" s="281">
        <f t="shared" si="2"/>
        <v>0</v>
      </c>
      <c r="F40" s="281">
        <f t="shared" si="2"/>
        <v>0</v>
      </c>
      <c r="G40" s="281">
        <f t="shared" si="2"/>
        <v>0</v>
      </c>
      <c r="H40" s="281">
        <f t="shared" si="2"/>
        <v>0</v>
      </c>
    </row>
    <row r="41" spans="1:9">
      <c r="A41" s="99" t="s">
        <v>437</v>
      </c>
      <c r="B41" s="327">
        <v>1</v>
      </c>
      <c r="C41" s="327">
        <f t="shared" ref="C41:H41" si="3">1-C40</f>
        <v>1</v>
      </c>
      <c r="D41" s="327">
        <f t="shared" si="3"/>
        <v>1</v>
      </c>
      <c r="E41" s="327">
        <f t="shared" si="3"/>
        <v>1</v>
      </c>
      <c r="F41" s="327">
        <f t="shared" si="3"/>
        <v>1</v>
      </c>
      <c r="G41" s="327">
        <f t="shared" si="3"/>
        <v>1</v>
      </c>
      <c r="H41" s="327">
        <f t="shared" si="3"/>
        <v>1</v>
      </c>
    </row>
    <row r="42" spans="1:9">
      <c r="A42" s="97" t="s">
        <v>130</v>
      </c>
      <c r="B42" s="260">
        <f>B39*B40</f>
        <v>0</v>
      </c>
      <c r="C42" s="260">
        <f t="shared" ref="C42:H42" si="4">C39*C40</f>
        <v>0</v>
      </c>
      <c r="D42" s="260">
        <f t="shared" si="4"/>
        <v>0</v>
      </c>
      <c r="E42" s="260">
        <f t="shared" si="4"/>
        <v>0</v>
      </c>
      <c r="F42" s="260">
        <f t="shared" si="4"/>
        <v>0</v>
      </c>
      <c r="G42" s="260">
        <f t="shared" si="4"/>
        <v>0</v>
      </c>
      <c r="H42" s="260">
        <f t="shared" si="4"/>
        <v>0</v>
      </c>
    </row>
    <row r="43" spans="1:9">
      <c r="A43" s="97" t="s">
        <v>131</v>
      </c>
      <c r="B43" s="115"/>
      <c r="C43" s="115"/>
      <c r="D43" s="115"/>
      <c r="E43" s="115"/>
      <c r="F43" s="115"/>
      <c r="G43" s="115"/>
      <c r="H43" s="115"/>
    </row>
    <row r="44" spans="1:9">
      <c r="A44" s="95" t="s">
        <v>714</v>
      </c>
      <c r="B44" s="96">
        <f>B13*$B$41</f>
        <v>1027.54575</v>
      </c>
      <c r="C44" s="96">
        <f>C13*$B$41</f>
        <v>1050.8990625000001</v>
      </c>
      <c r="D44" s="96">
        <f>D13*$B$41</f>
        <v>1074.252375</v>
      </c>
      <c r="E44" s="96">
        <f>E13*$B$41</f>
        <v>1097.6056875000002</v>
      </c>
      <c r="F44" s="96">
        <f t="shared" ref="F44:H44" si="5">F13*$B$41</f>
        <v>1120.9590000000003</v>
      </c>
      <c r="G44" s="96">
        <f t="shared" si="5"/>
        <v>1144.3123125000004</v>
      </c>
      <c r="H44" s="96">
        <f t="shared" si="5"/>
        <v>1167.6656250000003</v>
      </c>
      <c r="I44">
        <v>20</v>
      </c>
    </row>
    <row r="45" spans="1:9">
      <c r="A45" s="95" t="s">
        <v>454</v>
      </c>
      <c r="B45" s="96">
        <f>B14*$B$41</f>
        <v>433.85264999999998</v>
      </c>
      <c r="C45" s="96">
        <f t="shared" ref="C45:H45" si="6">C14*$B$41</f>
        <v>443.71293750000001</v>
      </c>
      <c r="D45" s="96">
        <f>D14*$B$41</f>
        <v>453.57322499999998</v>
      </c>
      <c r="E45" s="96">
        <f t="shared" si="6"/>
        <v>463.43351250000001</v>
      </c>
      <c r="F45" s="96">
        <f t="shared" si="6"/>
        <v>473.29380000000003</v>
      </c>
      <c r="G45" s="96">
        <f t="shared" si="6"/>
        <v>483.1540875</v>
      </c>
      <c r="H45" s="96">
        <f t="shared" si="6"/>
        <v>493.01437499999997</v>
      </c>
      <c r="I45">
        <v>20</v>
      </c>
    </row>
    <row r="46" spans="1:9">
      <c r="A46" s="95" t="s">
        <v>455</v>
      </c>
      <c r="B46" s="96">
        <f>B15*$B$41</f>
        <v>304.45799999999997</v>
      </c>
      <c r="C46" s="96">
        <f t="shared" ref="C46:C61" si="7">C15*$C$41</f>
        <v>311.3775</v>
      </c>
      <c r="D46" s="96">
        <f t="shared" ref="D46:D61" si="8">D15*$D$41</f>
        <v>318.29699999999997</v>
      </c>
      <c r="E46" s="96">
        <f t="shared" ref="E46:E61" si="9">E15*$E$41</f>
        <v>325.2165</v>
      </c>
      <c r="F46" s="96">
        <f t="shared" ref="F46:F61" si="10">F15*$F$41</f>
        <v>332.13599999999997</v>
      </c>
      <c r="G46" s="96">
        <f t="shared" ref="G46:G61" si="11">G15*$G$41</f>
        <v>339.05549999999999</v>
      </c>
      <c r="H46" s="96">
        <f t="shared" ref="H46:H61" si="12">H15*$H$41</f>
        <v>345.97499999999997</v>
      </c>
    </row>
    <row r="47" spans="1:9" hidden="1">
      <c r="A47" s="95">
        <f t="shared" ref="A47:A61" si="13">A16</f>
        <v>0</v>
      </c>
      <c r="B47" s="96">
        <f t="shared" ref="B47:B61" si="14">B16*$B$41</f>
        <v>0</v>
      </c>
      <c r="C47" s="96">
        <f t="shared" si="7"/>
        <v>0</v>
      </c>
      <c r="D47" s="96">
        <f t="shared" si="8"/>
        <v>0</v>
      </c>
      <c r="E47" s="96">
        <f t="shared" si="9"/>
        <v>0</v>
      </c>
      <c r="F47" s="96">
        <f t="shared" si="10"/>
        <v>0</v>
      </c>
      <c r="G47" s="96">
        <f t="shared" si="11"/>
        <v>0</v>
      </c>
      <c r="H47" s="96">
        <f t="shared" si="12"/>
        <v>0</v>
      </c>
    </row>
    <row r="48" spans="1:9" hidden="1">
      <c r="A48" s="95">
        <f t="shared" si="13"/>
        <v>0</v>
      </c>
      <c r="B48" s="96">
        <f t="shared" si="14"/>
        <v>0</v>
      </c>
      <c r="C48" s="96">
        <f t="shared" si="7"/>
        <v>0</v>
      </c>
      <c r="D48" s="96">
        <f t="shared" si="8"/>
        <v>0</v>
      </c>
      <c r="E48" s="96">
        <f t="shared" si="9"/>
        <v>0</v>
      </c>
      <c r="F48" s="96">
        <f t="shared" si="10"/>
        <v>0</v>
      </c>
      <c r="G48" s="96">
        <f t="shared" si="11"/>
        <v>0</v>
      </c>
      <c r="H48" s="96">
        <f t="shared" si="12"/>
        <v>0</v>
      </c>
    </row>
    <row r="49" spans="1:8" hidden="1">
      <c r="A49" s="95">
        <f t="shared" si="13"/>
        <v>0</v>
      </c>
      <c r="B49" s="96">
        <f t="shared" si="14"/>
        <v>0</v>
      </c>
      <c r="C49" s="96">
        <f t="shared" si="7"/>
        <v>0</v>
      </c>
      <c r="D49" s="96">
        <f t="shared" si="8"/>
        <v>0</v>
      </c>
      <c r="E49" s="96">
        <f t="shared" si="9"/>
        <v>0</v>
      </c>
      <c r="F49" s="96">
        <f t="shared" si="10"/>
        <v>0</v>
      </c>
      <c r="G49" s="96">
        <f t="shared" si="11"/>
        <v>0</v>
      </c>
      <c r="H49" s="96">
        <f t="shared" si="12"/>
        <v>0</v>
      </c>
    </row>
    <row r="50" spans="1:8" hidden="1">
      <c r="A50" s="95">
        <f t="shared" si="13"/>
        <v>0</v>
      </c>
      <c r="B50" s="96">
        <f t="shared" si="14"/>
        <v>0</v>
      </c>
      <c r="C50" s="96">
        <f t="shared" si="7"/>
        <v>0</v>
      </c>
      <c r="D50" s="96">
        <f t="shared" si="8"/>
        <v>0</v>
      </c>
      <c r="E50" s="96">
        <f t="shared" si="9"/>
        <v>0</v>
      </c>
      <c r="F50" s="96">
        <f t="shared" si="10"/>
        <v>0</v>
      </c>
      <c r="G50" s="96">
        <f t="shared" si="11"/>
        <v>0</v>
      </c>
      <c r="H50" s="96">
        <f t="shared" si="12"/>
        <v>0</v>
      </c>
    </row>
    <row r="51" spans="1:8" hidden="1">
      <c r="A51" s="95">
        <f t="shared" si="13"/>
        <v>0</v>
      </c>
      <c r="B51" s="96">
        <f t="shared" si="14"/>
        <v>0</v>
      </c>
      <c r="C51" s="96">
        <f t="shared" si="7"/>
        <v>0</v>
      </c>
      <c r="D51" s="96">
        <f t="shared" si="8"/>
        <v>0</v>
      </c>
      <c r="E51" s="96">
        <f t="shared" si="9"/>
        <v>0</v>
      </c>
      <c r="F51" s="96">
        <f t="shared" si="10"/>
        <v>0</v>
      </c>
      <c r="G51" s="96">
        <f t="shared" si="11"/>
        <v>0</v>
      </c>
      <c r="H51" s="96">
        <f t="shared" si="12"/>
        <v>0</v>
      </c>
    </row>
    <row r="52" spans="1:8" hidden="1">
      <c r="A52" s="95">
        <f t="shared" si="13"/>
        <v>0</v>
      </c>
      <c r="B52" s="96">
        <f t="shared" si="14"/>
        <v>0</v>
      </c>
      <c r="C52" s="96">
        <f t="shared" si="7"/>
        <v>0</v>
      </c>
      <c r="D52" s="96">
        <f t="shared" si="8"/>
        <v>0</v>
      </c>
      <c r="E52" s="96">
        <f t="shared" si="9"/>
        <v>0</v>
      </c>
      <c r="F52" s="96">
        <f t="shared" si="10"/>
        <v>0</v>
      </c>
      <c r="G52" s="96">
        <f t="shared" si="11"/>
        <v>0</v>
      </c>
      <c r="H52" s="96">
        <f t="shared" si="12"/>
        <v>0</v>
      </c>
    </row>
    <row r="53" spans="1:8" hidden="1">
      <c r="A53" s="95">
        <f t="shared" si="13"/>
        <v>0</v>
      </c>
      <c r="B53" s="96">
        <f t="shared" si="14"/>
        <v>0</v>
      </c>
      <c r="C53" s="96">
        <f t="shared" si="7"/>
        <v>0</v>
      </c>
      <c r="D53" s="96">
        <f t="shared" si="8"/>
        <v>0</v>
      </c>
      <c r="E53" s="96">
        <f t="shared" si="9"/>
        <v>0</v>
      </c>
      <c r="F53" s="96">
        <f t="shared" si="10"/>
        <v>0</v>
      </c>
      <c r="G53" s="96">
        <f t="shared" si="11"/>
        <v>0</v>
      </c>
      <c r="H53" s="96">
        <f t="shared" si="12"/>
        <v>0</v>
      </c>
    </row>
    <row r="54" spans="1:8" hidden="1">
      <c r="A54" s="95">
        <f t="shared" si="13"/>
        <v>0</v>
      </c>
      <c r="B54" s="96">
        <f t="shared" si="14"/>
        <v>0</v>
      </c>
      <c r="C54" s="96">
        <f t="shared" si="7"/>
        <v>0</v>
      </c>
      <c r="D54" s="96">
        <f t="shared" si="8"/>
        <v>0</v>
      </c>
      <c r="E54" s="96">
        <f t="shared" si="9"/>
        <v>0</v>
      </c>
      <c r="F54" s="96">
        <f t="shared" si="10"/>
        <v>0</v>
      </c>
      <c r="G54" s="96">
        <f t="shared" si="11"/>
        <v>0</v>
      </c>
      <c r="H54" s="96">
        <f t="shared" si="12"/>
        <v>0</v>
      </c>
    </row>
    <row r="55" spans="1:8" hidden="1">
      <c r="A55" s="95">
        <f t="shared" si="13"/>
        <v>0</v>
      </c>
      <c r="B55" s="96">
        <f t="shared" si="14"/>
        <v>0</v>
      </c>
      <c r="C55" s="96">
        <f t="shared" si="7"/>
        <v>0</v>
      </c>
      <c r="D55" s="96">
        <f t="shared" si="8"/>
        <v>0</v>
      </c>
      <c r="E55" s="96">
        <f t="shared" si="9"/>
        <v>0</v>
      </c>
      <c r="F55" s="96">
        <f t="shared" si="10"/>
        <v>0</v>
      </c>
      <c r="G55" s="96">
        <f t="shared" si="11"/>
        <v>0</v>
      </c>
      <c r="H55" s="96">
        <f t="shared" si="12"/>
        <v>0</v>
      </c>
    </row>
    <row r="56" spans="1:8" hidden="1">
      <c r="A56" s="95">
        <f t="shared" si="13"/>
        <v>0</v>
      </c>
      <c r="B56" s="96">
        <f t="shared" si="14"/>
        <v>0</v>
      </c>
      <c r="C56" s="96">
        <f t="shared" si="7"/>
        <v>0</v>
      </c>
      <c r="D56" s="96">
        <f t="shared" si="8"/>
        <v>0</v>
      </c>
      <c r="E56" s="96">
        <f t="shared" si="9"/>
        <v>0</v>
      </c>
      <c r="F56" s="96">
        <f t="shared" si="10"/>
        <v>0</v>
      </c>
      <c r="G56" s="96">
        <f t="shared" si="11"/>
        <v>0</v>
      </c>
      <c r="H56" s="96">
        <f t="shared" si="12"/>
        <v>0</v>
      </c>
    </row>
    <row r="57" spans="1:8" hidden="1">
      <c r="A57" s="95">
        <f t="shared" si="13"/>
        <v>0</v>
      </c>
      <c r="B57" s="96">
        <f t="shared" si="14"/>
        <v>0</v>
      </c>
      <c r="C57" s="96">
        <f t="shared" si="7"/>
        <v>0</v>
      </c>
      <c r="D57" s="96">
        <f t="shared" si="8"/>
        <v>0</v>
      </c>
      <c r="E57" s="96">
        <f t="shared" si="9"/>
        <v>0</v>
      </c>
      <c r="F57" s="96">
        <f t="shared" si="10"/>
        <v>0</v>
      </c>
      <c r="G57" s="96">
        <f t="shared" si="11"/>
        <v>0</v>
      </c>
      <c r="H57" s="96">
        <f t="shared" si="12"/>
        <v>0</v>
      </c>
    </row>
    <row r="58" spans="1:8" hidden="1">
      <c r="A58" s="95">
        <f t="shared" si="13"/>
        <v>0</v>
      </c>
      <c r="B58" s="96">
        <f t="shared" si="14"/>
        <v>0</v>
      </c>
      <c r="C58" s="96">
        <f t="shared" si="7"/>
        <v>0</v>
      </c>
      <c r="D58" s="96">
        <f t="shared" si="8"/>
        <v>0</v>
      </c>
      <c r="E58" s="96">
        <f t="shared" si="9"/>
        <v>0</v>
      </c>
      <c r="F58" s="96">
        <f t="shared" si="10"/>
        <v>0</v>
      </c>
      <c r="G58" s="96">
        <f t="shared" si="11"/>
        <v>0</v>
      </c>
      <c r="H58" s="96">
        <f t="shared" si="12"/>
        <v>0</v>
      </c>
    </row>
    <row r="59" spans="1:8" hidden="1">
      <c r="A59" s="95">
        <f t="shared" si="13"/>
        <v>0</v>
      </c>
      <c r="B59" s="96">
        <f t="shared" si="14"/>
        <v>0</v>
      </c>
      <c r="C59" s="96">
        <f t="shared" si="7"/>
        <v>0</v>
      </c>
      <c r="D59" s="96">
        <f t="shared" si="8"/>
        <v>0</v>
      </c>
      <c r="E59" s="96">
        <f t="shared" si="9"/>
        <v>0</v>
      </c>
      <c r="F59" s="96">
        <f t="shared" si="10"/>
        <v>0</v>
      </c>
      <c r="G59" s="96">
        <f t="shared" si="11"/>
        <v>0</v>
      </c>
      <c r="H59" s="96">
        <f t="shared" si="12"/>
        <v>0</v>
      </c>
    </row>
    <row r="60" spans="1:8" hidden="1">
      <c r="A60" s="95">
        <f t="shared" si="13"/>
        <v>0</v>
      </c>
      <c r="B60" s="96">
        <f t="shared" si="14"/>
        <v>0</v>
      </c>
      <c r="C60" s="96">
        <f t="shared" si="7"/>
        <v>0</v>
      </c>
      <c r="D60" s="96">
        <f t="shared" si="8"/>
        <v>0</v>
      </c>
      <c r="E60" s="96">
        <f t="shared" si="9"/>
        <v>0</v>
      </c>
      <c r="F60" s="96">
        <f t="shared" si="10"/>
        <v>0</v>
      </c>
      <c r="G60" s="96">
        <f t="shared" si="11"/>
        <v>0</v>
      </c>
      <c r="H60" s="96">
        <f t="shared" si="12"/>
        <v>0</v>
      </c>
    </row>
    <row r="61" spans="1:8" hidden="1">
      <c r="A61" s="95" t="e">
        <f t="shared" si="13"/>
        <v>#REF!</v>
      </c>
      <c r="B61" s="96" t="e">
        <f t="shared" si="14"/>
        <v>#REF!</v>
      </c>
      <c r="C61" s="96" t="e">
        <f t="shared" si="7"/>
        <v>#REF!</v>
      </c>
      <c r="D61" s="96" t="e">
        <f t="shared" si="8"/>
        <v>#REF!</v>
      </c>
      <c r="E61" s="96" t="e">
        <f t="shared" si="9"/>
        <v>#REF!</v>
      </c>
      <c r="F61" s="96" t="e">
        <f t="shared" si="10"/>
        <v>#REF!</v>
      </c>
      <c r="G61" s="96" t="e">
        <f t="shared" si="11"/>
        <v>#REF!</v>
      </c>
      <c r="H61" s="96" t="e">
        <f t="shared" si="12"/>
        <v>#REF!</v>
      </c>
    </row>
    <row r="62" spans="1:8" hidden="1">
      <c r="A62" s="95">
        <f t="shared" ref="A62" si="15">A34</f>
        <v>0</v>
      </c>
      <c r="B62" s="96">
        <f>B34*$B$41</f>
        <v>0</v>
      </c>
      <c r="C62" s="96">
        <f t="shared" ref="C62:H62" si="16">C34*$B$41</f>
        <v>0</v>
      </c>
      <c r="D62" s="96">
        <f t="shared" si="16"/>
        <v>0</v>
      </c>
      <c r="E62" s="96">
        <f t="shared" si="16"/>
        <v>0</v>
      </c>
      <c r="F62" s="96">
        <f t="shared" si="16"/>
        <v>0</v>
      </c>
      <c r="G62" s="96">
        <f t="shared" si="16"/>
        <v>0</v>
      </c>
      <c r="H62" s="96">
        <f t="shared" si="16"/>
        <v>0</v>
      </c>
    </row>
    <row r="63" spans="1:8" hidden="1">
      <c r="A63" s="95">
        <f>A35</f>
        <v>0</v>
      </c>
      <c r="B63" s="96">
        <f t="shared" ref="B63:H63" si="17">B35*$B$41</f>
        <v>0</v>
      </c>
      <c r="C63" s="96">
        <f t="shared" si="17"/>
        <v>0</v>
      </c>
      <c r="D63" s="96">
        <f t="shared" si="17"/>
        <v>0</v>
      </c>
      <c r="E63" s="96">
        <f t="shared" si="17"/>
        <v>0</v>
      </c>
      <c r="F63" s="96">
        <f t="shared" si="17"/>
        <v>0</v>
      </c>
      <c r="G63" s="96">
        <f t="shared" si="17"/>
        <v>0</v>
      </c>
      <c r="H63" s="96">
        <f t="shared" si="17"/>
        <v>0</v>
      </c>
    </row>
    <row r="64" spans="1:8" hidden="1">
      <c r="A64" s="95">
        <f>A36</f>
        <v>0</v>
      </c>
      <c r="B64" s="96">
        <f t="shared" ref="B64:H65" si="18">B36*$B$41</f>
        <v>0</v>
      </c>
      <c r="C64" s="96">
        <f t="shared" si="18"/>
        <v>0</v>
      </c>
      <c r="D64" s="96">
        <f t="shared" si="18"/>
        <v>0</v>
      </c>
      <c r="E64" s="96">
        <f t="shared" si="18"/>
        <v>0</v>
      </c>
      <c r="F64" s="96">
        <f t="shared" si="18"/>
        <v>0</v>
      </c>
      <c r="G64" s="96">
        <f t="shared" si="18"/>
        <v>0</v>
      </c>
      <c r="H64" s="96">
        <f t="shared" si="18"/>
        <v>0</v>
      </c>
    </row>
    <row r="65" spans="1:8">
      <c r="A65" s="95">
        <f>A37</f>
        <v>0</v>
      </c>
      <c r="B65" s="96">
        <f t="shared" si="18"/>
        <v>0</v>
      </c>
      <c r="C65" s="96">
        <f t="shared" si="18"/>
        <v>0</v>
      </c>
      <c r="D65" s="96">
        <f t="shared" si="18"/>
        <v>0</v>
      </c>
      <c r="E65" s="96">
        <f t="shared" si="18"/>
        <v>0</v>
      </c>
      <c r="F65" s="96">
        <f t="shared" si="18"/>
        <v>0</v>
      </c>
      <c r="G65" s="96">
        <f t="shared" si="18"/>
        <v>0</v>
      </c>
      <c r="H65" s="96">
        <f t="shared" si="18"/>
        <v>0</v>
      </c>
    </row>
    <row r="66" spans="1:8">
      <c r="A66" s="97" t="s">
        <v>717</v>
      </c>
      <c r="B66" s="95"/>
      <c r="C66" s="95"/>
      <c r="D66" s="95"/>
      <c r="E66" s="95"/>
      <c r="F66" s="95"/>
      <c r="G66" s="95"/>
      <c r="H66" s="95"/>
    </row>
    <row r="67" spans="1:8">
      <c r="A67" s="95" t="s">
        <v>713</v>
      </c>
      <c r="B67" s="191">
        <f>B44*0.8</f>
        <v>822.03660000000002</v>
      </c>
      <c r="C67" s="191">
        <f t="shared" ref="C67:H67" si="19">C44*0.8</f>
        <v>840.7192500000001</v>
      </c>
      <c r="D67" s="191">
        <f t="shared" si="19"/>
        <v>859.40190000000007</v>
      </c>
      <c r="E67" s="191">
        <f t="shared" si="19"/>
        <v>878.08455000000015</v>
      </c>
      <c r="F67" s="191">
        <f t="shared" si="19"/>
        <v>896.76720000000023</v>
      </c>
      <c r="G67" s="191">
        <f t="shared" si="19"/>
        <v>915.44985000000042</v>
      </c>
      <c r="H67" s="191">
        <f t="shared" si="19"/>
        <v>934.13250000000028</v>
      </c>
    </row>
    <row r="68" spans="1:8" ht="14.25" hidden="1" customHeight="1">
      <c r="A68" s="95"/>
      <c r="B68" s="191"/>
      <c r="C68" s="191"/>
      <c r="D68" s="191"/>
      <c r="E68" s="191"/>
      <c r="F68" s="191"/>
      <c r="G68" s="191"/>
      <c r="H68" s="191"/>
    </row>
    <row r="69" spans="1:8" hidden="1">
      <c r="A69" s="95"/>
      <c r="B69" s="191"/>
      <c r="C69" s="191"/>
      <c r="D69" s="191"/>
      <c r="E69" s="191"/>
      <c r="F69" s="191"/>
      <c r="G69" s="191"/>
      <c r="H69" s="191"/>
    </row>
    <row r="70" spans="1:8" hidden="1">
      <c r="A70" s="95"/>
      <c r="B70" s="191"/>
      <c r="C70" s="191"/>
      <c r="D70" s="191"/>
      <c r="E70" s="191"/>
      <c r="F70" s="191"/>
      <c r="G70" s="191"/>
      <c r="H70" s="191"/>
    </row>
    <row r="71" spans="1:8">
      <c r="A71" s="95" t="s">
        <v>715</v>
      </c>
      <c r="B71" s="96">
        <f>B45*0.8</f>
        <v>347.08212000000003</v>
      </c>
      <c r="C71" s="96">
        <f t="shared" ref="C71:H71" si="20">C45*0.8</f>
        <v>354.97035000000005</v>
      </c>
      <c r="D71" s="96">
        <f t="shared" si="20"/>
        <v>362.85858000000002</v>
      </c>
      <c r="E71" s="96">
        <f t="shared" si="20"/>
        <v>370.74681000000004</v>
      </c>
      <c r="F71" s="96">
        <f t="shared" si="20"/>
        <v>378.63504000000006</v>
      </c>
      <c r="G71" s="96">
        <f t="shared" si="20"/>
        <v>386.52327000000002</v>
      </c>
      <c r="H71" s="96">
        <f t="shared" si="20"/>
        <v>394.41149999999999</v>
      </c>
    </row>
    <row r="72" spans="1:8" hidden="1">
      <c r="A72" s="95"/>
      <c r="B72" s="96"/>
      <c r="C72" s="96"/>
      <c r="D72" s="96"/>
      <c r="E72" s="96"/>
      <c r="F72" s="96"/>
      <c r="G72" s="96"/>
      <c r="H72" s="96"/>
    </row>
    <row r="73" spans="1:8" hidden="1">
      <c r="A73" s="95"/>
      <c r="B73" s="96"/>
      <c r="C73" s="96"/>
      <c r="D73" s="96"/>
      <c r="E73" s="96"/>
      <c r="F73" s="96"/>
      <c r="G73" s="96"/>
      <c r="H73" s="96"/>
    </row>
    <row r="74" spans="1:8" hidden="1">
      <c r="A74" s="95"/>
      <c r="B74" s="96"/>
      <c r="C74" s="96"/>
      <c r="D74" s="96"/>
      <c r="E74" s="96"/>
      <c r="F74" s="96"/>
      <c r="G74" s="96"/>
      <c r="H74" s="96"/>
    </row>
    <row r="75" spans="1:8">
      <c r="A75" s="95" t="s">
        <v>716</v>
      </c>
      <c r="B75" s="96">
        <f>B46</f>
        <v>304.45799999999997</v>
      </c>
      <c r="C75" s="96">
        <f t="shared" ref="C75:H75" si="21">C46</f>
        <v>311.3775</v>
      </c>
      <c r="D75" s="96">
        <f t="shared" si="21"/>
        <v>318.29699999999997</v>
      </c>
      <c r="E75" s="96">
        <f t="shared" si="21"/>
        <v>325.2165</v>
      </c>
      <c r="F75" s="96">
        <f t="shared" si="21"/>
        <v>332.13599999999997</v>
      </c>
      <c r="G75" s="96">
        <f t="shared" si="21"/>
        <v>339.05549999999999</v>
      </c>
      <c r="H75" s="96">
        <f t="shared" si="21"/>
        <v>345.97499999999997</v>
      </c>
    </row>
    <row r="76" spans="1:8">
      <c r="A76" s="95"/>
      <c r="B76" s="96"/>
      <c r="C76" s="96"/>
      <c r="D76" s="96"/>
      <c r="E76" s="96"/>
      <c r="F76" s="96"/>
      <c r="G76" s="96"/>
      <c r="H76" s="96"/>
    </row>
    <row r="77" spans="1:8" hidden="1">
      <c r="A77" s="95"/>
      <c r="B77" s="96"/>
      <c r="C77" s="96"/>
      <c r="D77" s="96"/>
      <c r="E77" s="96"/>
      <c r="F77" s="96"/>
      <c r="G77" s="96"/>
      <c r="H77" s="96"/>
    </row>
    <row r="78" spans="1:8" hidden="1">
      <c r="A78" s="95"/>
      <c r="B78" s="96"/>
      <c r="C78" s="96"/>
      <c r="D78" s="96"/>
      <c r="E78" s="96"/>
      <c r="F78" s="96"/>
      <c r="G78" s="96"/>
      <c r="H78" s="96"/>
    </row>
    <row r="79" spans="1:8" hidden="1">
      <c r="A79" s="95">
        <f>A47</f>
        <v>0</v>
      </c>
      <c r="B79" s="96"/>
      <c r="C79" s="96"/>
      <c r="D79" s="96"/>
      <c r="E79" s="96"/>
      <c r="F79" s="96"/>
      <c r="G79" s="96"/>
      <c r="H79" s="96"/>
    </row>
    <row r="80" spans="1:8" hidden="1">
      <c r="A80" s="95"/>
      <c r="B80" s="96"/>
      <c r="C80" s="96"/>
      <c r="D80" s="96"/>
      <c r="E80" s="96"/>
      <c r="F80" s="96"/>
      <c r="G80" s="96"/>
      <c r="H80" s="96"/>
    </row>
    <row r="81" spans="1:8" hidden="1">
      <c r="A81" s="95"/>
      <c r="B81" s="96"/>
      <c r="C81" s="96"/>
      <c r="D81" s="96"/>
      <c r="E81" s="96"/>
      <c r="F81" s="96"/>
      <c r="G81" s="96"/>
      <c r="H81" s="96"/>
    </row>
    <row r="82" spans="1:8" hidden="1">
      <c r="A82" s="95"/>
      <c r="B82" s="96"/>
      <c r="C82" s="96"/>
      <c r="D82" s="96"/>
      <c r="E82" s="96"/>
      <c r="F82" s="96"/>
      <c r="G82" s="96"/>
      <c r="H82" s="96"/>
    </row>
    <row r="83" spans="1:8" hidden="1">
      <c r="A83" s="95">
        <f>A48</f>
        <v>0</v>
      </c>
      <c r="B83" s="96"/>
      <c r="C83" s="96"/>
      <c r="D83" s="96"/>
      <c r="E83" s="96"/>
      <c r="F83" s="96"/>
      <c r="G83" s="96"/>
      <c r="H83" s="96"/>
    </row>
    <row r="84" spans="1:8" hidden="1">
      <c r="A84" s="95"/>
      <c r="B84" s="96"/>
      <c r="C84" s="96"/>
      <c r="D84" s="96"/>
      <c r="E84" s="96"/>
      <c r="F84" s="96"/>
      <c r="G84" s="96"/>
      <c r="H84" s="96"/>
    </row>
    <row r="85" spans="1:8" hidden="1">
      <c r="A85" s="95"/>
      <c r="B85" s="96"/>
      <c r="C85" s="96"/>
      <c r="D85" s="96"/>
      <c r="E85" s="96"/>
      <c r="F85" s="96"/>
      <c r="G85" s="96"/>
      <c r="H85" s="96"/>
    </row>
    <row r="86" spans="1:8" hidden="1">
      <c r="A86" s="95"/>
      <c r="B86" s="96"/>
      <c r="C86" s="96"/>
      <c r="D86" s="96"/>
      <c r="E86" s="96"/>
      <c r="F86" s="96"/>
      <c r="G86" s="96"/>
      <c r="H86" s="96"/>
    </row>
    <row r="87" spans="1:8" hidden="1">
      <c r="A87" s="95">
        <f>A49</f>
        <v>0</v>
      </c>
      <c r="B87" s="96"/>
      <c r="C87" s="96"/>
      <c r="D87" s="96"/>
      <c r="E87" s="96"/>
      <c r="F87" s="96"/>
      <c r="G87" s="96"/>
      <c r="H87" s="96"/>
    </row>
    <row r="88" spans="1:8" hidden="1">
      <c r="A88" s="95"/>
      <c r="B88" s="96"/>
      <c r="C88" s="96"/>
      <c r="D88" s="96"/>
      <c r="E88" s="96"/>
      <c r="F88" s="96"/>
      <c r="G88" s="96"/>
      <c r="H88" s="96"/>
    </row>
    <row r="89" spans="1:8" hidden="1">
      <c r="A89" s="95"/>
      <c r="B89" s="96"/>
      <c r="C89" s="96"/>
      <c r="D89" s="96"/>
      <c r="E89" s="96"/>
      <c r="F89" s="96"/>
      <c r="G89" s="96"/>
      <c r="H89" s="96"/>
    </row>
    <row r="90" spans="1:8" hidden="1">
      <c r="A90" s="95"/>
      <c r="B90" s="96"/>
      <c r="C90" s="96"/>
      <c r="D90" s="96"/>
      <c r="E90" s="96"/>
      <c r="F90" s="96"/>
      <c r="G90" s="96"/>
      <c r="H90" s="96"/>
    </row>
    <row r="91" spans="1:8" hidden="1">
      <c r="A91" s="95">
        <f>A50</f>
        <v>0</v>
      </c>
      <c r="B91" s="96"/>
      <c r="C91" s="96"/>
      <c r="D91" s="96"/>
      <c r="E91" s="96"/>
      <c r="F91" s="96"/>
      <c r="G91" s="96"/>
      <c r="H91" s="96"/>
    </row>
    <row r="92" spans="1:8" hidden="1">
      <c r="A92" s="95"/>
      <c r="B92" s="96"/>
      <c r="C92" s="96"/>
      <c r="D92" s="96"/>
      <c r="E92" s="96"/>
      <c r="F92" s="96"/>
      <c r="G92" s="96"/>
      <c r="H92" s="96"/>
    </row>
    <row r="93" spans="1:8" hidden="1">
      <c r="A93" s="95"/>
      <c r="B93" s="96"/>
      <c r="C93" s="96"/>
      <c r="D93" s="96"/>
      <c r="E93" s="96"/>
      <c r="F93" s="96"/>
      <c r="G93" s="96"/>
      <c r="H93" s="96"/>
    </row>
    <row r="94" spans="1:8" hidden="1">
      <c r="A94" s="95">
        <f>A51</f>
        <v>0</v>
      </c>
      <c r="B94" s="96"/>
      <c r="C94" s="96"/>
      <c r="D94" s="96"/>
      <c r="E94" s="96"/>
      <c r="F94" s="96"/>
      <c r="G94" s="96"/>
      <c r="H94" s="96"/>
    </row>
    <row r="95" spans="1:8" hidden="1">
      <c r="A95" s="95"/>
      <c r="B95" s="96"/>
      <c r="C95" s="96"/>
      <c r="D95" s="96"/>
      <c r="E95" s="96"/>
      <c r="F95" s="96"/>
      <c r="G95" s="96"/>
      <c r="H95" s="96"/>
    </row>
    <row r="96" spans="1:8" hidden="1">
      <c r="A96" s="95"/>
      <c r="B96" s="96"/>
      <c r="C96" s="96"/>
      <c r="D96" s="96"/>
      <c r="E96" s="96"/>
      <c r="F96" s="96"/>
      <c r="G96" s="96"/>
      <c r="H96" s="96"/>
    </row>
    <row r="97" spans="1:8" hidden="1">
      <c r="A97" s="95"/>
      <c r="B97" s="96"/>
      <c r="C97" s="96"/>
      <c r="D97" s="96"/>
      <c r="E97" s="96"/>
      <c r="F97" s="96"/>
      <c r="G97" s="96"/>
      <c r="H97" s="96"/>
    </row>
    <row r="98" spans="1:8" hidden="1">
      <c r="A98" s="95">
        <f>A52</f>
        <v>0</v>
      </c>
      <c r="B98" s="96"/>
      <c r="C98" s="96"/>
      <c r="D98" s="96"/>
      <c r="E98" s="96"/>
      <c r="F98" s="96"/>
      <c r="G98" s="96"/>
      <c r="H98" s="96"/>
    </row>
    <row r="99" spans="1:8" hidden="1">
      <c r="A99" s="95"/>
      <c r="B99" s="96"/>
      <c r="C99" s="96"/>
      <c r="D99" s="96"/>
      <c r="E99" s="96"/>
      <c r="F99" s="96"/>
      <c r="G99" s="96"/>
      <c r="H99" s="96"/>
    </row>
    <row r="100" spans="1:8" hidden="1">
      <c r="A100" s="95"/>
      <c r="B100" s="96"/>
      <c r="C100" s="96"/>
      <c r="D100" s="96"/>
      <c r="E100" s="96"/>
      <c r="F100" s="96"/>
      <c r="G100" s="96"/>
      <c r="H100" s="96"/>
    </row>
    <row r="101" spans="1:8" hidden="1">
      <c r="A101" s="95"/>
      <c r="B101" s="96"/>
      <c r="C101" s="96"/>
      <c r="D101" s="96"/>
      <c r="E101" s="96"/>
      <c r="F101" s="96"/>
      <c r="G101" s="96"/>
      <c r="H101" s="96"/>
    </row>
    <row r="102" spans="1:8" hidden="1">
      <c r="A102" s="95">
        <f>A53</f>
        <v>0</v>
      </c>
      <c r="B102" s="96"/>
      <c r="C102" s="96"/>
      <c r="D102" s="96"/>
      <c r="E102" s="96"/>
      <c r="F102" s="96"/>
      <c r="G102" s="96"/>
      <c r="H102" s="96"/>
    </row>
    <row r="103" spans="1:8" hidden="1">
      <c r="A103" s="95"/>
      <c r="B103" s="96"/>
      <c r="C103" s="96"/>
      <c r="D103" s="96"/>
      <c r="E103" s="96"/>
      <c r="F103" s="96"/>
      <c r="G103" s="96"/>
      <c r="H103" s="96"/>
    </row>
    <row r="104" spans="1:8" hidden="1">
      <c r="A104" s="95"/>
      <c r="B104" s="96"/>
      <c r="C104" s="96"/>
      <c r="D104" s="96"/>
      <c r="E104" s="96"/>
      <c r="F104" s="96"/>
      <c r="G104" s="96"/>
      <c r="H104" s="96"/>
    </row>
    <row r="105" spans="1:8" hidden="1">
      <c r="A105" s="95"/>
      <c r="B105" s="96"/>
      <c r="C105" s="96"/>
      <c r="D105" s="96"/>
      <c r="E105" s="96"/>
      <c r="F105" s="96"/>
      <c r="G105" s="96"/>
      <c r="H105" s="96"/>
    </row>
    <row r="106" spans="1:8" hidden="1">
      <c r="A106" s="95">
        <f>A54</f>
        <v>0</v>
      </c>
      <c r="B106" s="96"/>
      <c r="C106" s="96"/>
      <c r="D106" s="96"/>
      <c r="E106" s="96"/>
      <c r="F106" s="96"/>
      <c r="G106" s="96"/>
      <c r="H106" s="96"/>
    </row>
    <row r="107" spans="1:8" hidden="1">
      <c r="A107" s="95"/>
      <c r="B107" s="96"/>
      <c r="C107" s="96"/>
      <c r="D107" s="96"/>
      <c r="E107" s="96"/>
      <c r="F107" s="96"/>
      <c r="G107" s="96"/>
      <c r="H107" s="96"/>
    </row>
    <row r="108" spans="1:8" hidden="1">
      <c r="A108" s="95"/>
      <c r="B108" s="96"/>
      <c r="C108" s="96"/>
      <c r="D108" s="96"/>
      <c r="E108" s="96"/>
      <c r="F108" s="96"/>
      <c r="G108" s="96"/>
      <c r="H108" s="96"/>
    </row>
    <row r="109" spans="1:8" hidden="1">
      <c r="A109" s="95"/>
      <c r="B109" s="96"/>
      <c r="C109" s="96"/>
      <c r="D109" s="96"/>
      <c r="E109" s="96"/>
      <c r="F109" s="96"/>
      <c r="G109" s="96"/>
      <c r="H109" s="96"/>
    </row>
    <row r="110" spans="1:8" hidden="1">
      <c r="A110" s="95">
        <f>A55</f>
        <v>0</v>
      </c>
      <c r="B110" s="96"/>
      <c r="C110" s="96"/>
      <c r="D110" s="96"/>
      <c r="E110" s="96"/>
      <c r="F110" s="96"/>
      <c r="G110" s="96"/>
      <c r="H110" s="96"/>
    </row>
    <row r="111" spans="1:8" hidden="1">
      <c r="A111" s="95"/>
      <c r="B111" s="96"/>
      <c r="C111" s="96"/>
      <c r="D111" s="96"/>
      <c r="E111" s="96"/>
      <c r="F111" s="96"/>
      <c r="G111" s="96"/>
      <c r="H111" s="96"/>
    </row>
    <row r="112" spans="1:8" hidden="1">
      <c r="A112" s="95"/>
      <c r="B112" s="96"/>
      <c r="C112" s="96"/>
      <c r="D112" s="96"/>
      <c r="E112" s="96"/>
      <c r="F112" s="96"/>
      <c r="G112" s="96"/>
      <c r="H112" s="96"/>
    </row>
    <row r="113" spans="1:8" hidden="1">
      <c r="A113" s="95"/>
      <c r="B113" s="96"/>
      <c r="C113" s="96"/>
      <c r="D113" s="96"/>
      <c r="E113" s="96"/>
      <c r="F113" s="96"/>
      <c r="G113" s="96"/>
      <c r="H113" s="96"/>
    </row>
    <row r="114" spans="1:8" hidden="1">
      <c r="A114" s="95">
        <f>A56</f>
        <v>0</v>
      </c>
      <c r="B114" s="96"/>
      <c r="C114" s="96"/>
      <c r="D114" s="96"/>
      <c r="E114" s="96"/>
      <c r="F114" s="96"/>
      <c r="G114" s="96"/>
      <c r="H114" s="96"/>
    </row>
    <row r="115" spans="1:8" hidden="1">
      <c r="A115" s="95"/>
      <c r="B115" s="96"/>
      <c r="C115" s="96"/>
      <c r="D115" s="96"/>
      <c r="E115" s="96"/>
      <c r="F115" s="96"/>
      <c r="G115" s="96"/>
      <c r="H115" s="96"/>
    </row>
    <row r="116" spans="1:8" hidden="1">
      <c r="A116" s="95"/>
      <c r="B116" s="96"/>
      <c r="C116" s="96"/>
      <c r="D116" s="96"/>
      <c r="E116" s="96"/>
      <c r="F116" s="96"/>
      <c r="G116" s="96"/>
      <c r="H116" s="96"/>
    </row>
    <row r="117" spans="1:8" hidden="1">
      <c r="A117" s="95"/>
      <c r="B117" s="96"/>
      <c r="C117" s="96"/>
      <c r="D117" s="96"/>
      <c r="E117" s="96"/>
      <c r="F117" s="96"/>
      <c r="G117" s="96"/>
      <c r="H117" s="96"/>
    </row>
    <row r="118" spans="1:8" hidden="1">
      <c r="A118" s="97">
        <f t="shared" ref="A118:A123" si="22">A57</f>
        <v>0</v>
      </c>
      <c r="B118" s="96"/>
      <c r="C118" s="96"/>
      <c r="D118" s="96"/>
      <c r="E118" s="96"/>
      <c r="F118" s="96"/>
      <c r="G118" s="96"/>
      <c r="H118" s="96"/>
    </row>
    <row r="119" spans="1:8" hidden="1">
      <c r="A119" s="95">
        <f t="shared" si="22"/>
        <v>0</v>
      </c>
      <c r="B119" s="96"/>
      <c r="C119" s="96"/>
      <c r="D119" s="96"/>
      <c r="E119" s="96"/>
      <c r="F119" s="96"/>
      <c r="G119" s="96"/>
      <c r="H119" s="96"/>
    </row>
    <row r="120" spans="1:8" hidden="1">
      <c r="A120" s="95">
        <f t="shared" si="22"/>
        <v>0</v>
      </c>
      <c r="B120" s="96"/>
      <c r="C120" s="96"/>
      <c r="D120" s="96"/>
      <c r="E120" s="96"/>
      <c r="F120" s="96"/>
      <c r="G120" s="96"/>
      <c r="H120" s="96"/>
    </row>
    <row r="121" spans="1:8" hidden="1">
      <c r="A121" s="95">
        <f t="shared" si="22"/>
        <v>0</v>
      </c>
      <c r="B121" s="96"/>
      <c r="C121" s="96"/>
      <c r="D121" s="96"/>
      <c r="E121" s="96"/>
      <c r="F121" s="96"/>
      <c r="G121" s="96"/>
      <c r="H121" s="96"/>
    </row>
    <row r="122" spans="1:8" hidden="1">
      <c r="A122" s="95" t="e">
        <f t="shared" si="22"/>
        <v>#REF!</v>
      </c>
      <c r="B122" s="96"/>
      <c r="C122" s="96"/>
      <c r="D122" s="96"/>
      <c r="E122" s="96"/>
      <c r="F122" s="96"/>
      <c r="G122" s="96"/>
      <c r="H122" s="96"/>
    </row>
    <row r="123" spans="1:8" hidden="1">
      <c r="A123" s="97">
        <f t="shared" si="22"/>
        <v>0</v>
      </c>
      <c r="B123" s="96"/>
      <c r="C123" s="96"/>
      <c r="D123" s="96"/>
      <c r="E123" s="96"/>
      <c r="F123" s="96"/>
      <c r="G123" s="96"/>
      <c r="H123" s="96"/>
    </row>
    <row r="124" spans="1:8" hidden="1">
      <c r="A124" s="95" t="s">
        <v>484</v>
      </c>
      <c r="B124" s="96">
        <f>(B$62*50%)*0.7</f>
        <v>0</v>
      </c>
      <c r="C124" s="96">
        <f>(C$62*50%)*0.7</f>
        <v>0</v>
      </c>
      <c r="D124" s="96">
        <f t="shared" ref="D124:H126" si="23">(D$62*50%)*0.7</f>
        <v>0</v>
      </c>
      <c r="E124" s="96">
        <f t="shared" si="23"/>
        <v>0</v>
      </c>
      <c r="F124" s="96">
        <f t="shared" si="23"/>
        <v>0</v>
      </c>
      <c r="G124" s="96">
        <f t="shared" si="23"/>
        <v>0</v>
      </c>
      <c r="H124" s="96">
        <f t="shared" si="23"/>
        <v>0</v>
      </c>
    </row>
    <row r="125" spans="1:8" hidden="1">
      <c r="A125" s="95" t="s">
        <v>482</v>
      </c>
      <c r="B125" s="96">
        <f>(B$62*50%)*0.7*2</f>
        <v>0</v>
      </c>
      <c r="C125" s="96">
        <f>(C$62*50%)*0.7</f>
        <v>0</v>
      </c>
      <c r="D125" s="96">
        <f t="shared" si="23"/>
        <v>0</v>
      </c>
      <c r="E125" s="96">
        <f t="shared" si="23"/>
        <v>0</v>
      </c>
      <c r="F125" s="96">
        <f t="shared" si="23"/>
        <v>0</v>
      </c>
      <c r="G125" s="96">
        <f t="shared" si="23"/>
        <v>0</v>
      </c>
      <c r="H125" s="96">
        <f t="shared" si="23"/>
        <v>0</v>
      </c>
    </row>
    <row r="126" spans="1:8" hidden="1">
      <c r="A126" s="95" t="s">
        <v>483</v>
      </c>
      <c r="B126" s="96">
        <f>(B$62*0.3)*0.2</f>
        <v>0</v>
      </c>
      <c r="C126" s="96">
        <f>(C$62*50%)*0.7</f>
        <v>0</v>
      </c>
      <c r="D126" s="96">
        <f t="shared" si="23"/>
        <v>0</v>
      </c>
      <c r="E126" s="96">
        <f t="shared" si="23"/>
        <v>0</v>
      </c>
      <c r="F126" s="96">
        <f t="shared" si="23"/>
        <v>0</v>
      </c>
      <c r="G126" s="96">
        <f t="shared" si="23"/>
        <v>0</v>
      </c>
      <c r="H126" s="96">
        <f t="shared" si="23"/>
        <v>0</v>
      </c>
    </row>
    <row r="127" spans="1:8" hidden="1">
      <c r="A127" s="95">
        <f t="shared" ref="A127" si="24">A63</f>
        <v>0</v>
      </c>
      <c r="B127" s="96">
        <f>(B$62*0.3)*0.2</f>
        <v>0</v>
      </c>
      <c r="C127" s="96"/>
      <c r="D127" s="96"/>
      <c r="E127" s="96"/>
      <c r="F127" s="96"/>
      <c r="G127" s="96"/>
      <c r="H127" s="96"/>
    </row>
    <row r="128" spans="1:8" hidden="1">
      <c r="A128" s="95"/>
      <c r="B128" s="96">
        <f t="shared" ref="B128:B133" si="25">(B$62*0.3)*0.2</f>
        <v>0</v>
      </c>
      <c r="C128" s="96"/>
      <c r="D128" s="96"/>
      <c r="E128" s="96"/>
      <c r="F128" s="96"/>
      <c r="G128" s="96"/>
      <c r="H128" s="96"/>
    </row>
    <row r="129" spans="1:8" hidden="1">
      <c r="A129" s="95"/>
      <c r="B129" s="96">
        <f t="shared" si="25"/>
        <v>0</v>
      </c>
      <c r="C129" s="96"/>
      <c r="D129" s="96"/>
      <c r="E129" s="96"/>
      <c r="F129" s="96"/>
      <c r="G129" s="96"/>
      <c r="H129" s="96"/>
    </row>
    <row r="130" spans="1:8" hidden="1">
      <c r="A130" s="95"/>
      <c r="B130" s="96">
        <f t="shared" si="25"/>
        <v>0</v>
      </c>
      <c r="C130" s="96"/>
      <c r="D130" s="96"/>
      <c r="E130" s="96"/>
      <c r="F130" s="96"/>
      <c r="G130" s="96"/>
      <c r="H130" s="96"/>
    </row>
    <row r="131" spans="1:8" hidden="1">
      <c r="A131" s="95">
        <f>A64</f>
        <v>0</v>
      </c>
      <c r="B131" s="96">
        <f>(B$62*0.3)*0.2</f>
        <v>0</v>
      </c>
      <c r="C131" s="96"/>
      <c r="D131" s="96"/>
      <c r="E131" s="96"/>
      <c r="F131" s="96"/>
      <c r="G131" s="96"/>
      <c r="H131" s="96"/>
    </row>
    <row r="132" spans="1:8" hidden="1">
      <c r="A132" s="95"/>
      <c r="B132" s="96">
        <f>(B$62*0.3)*0.2</f>
        <v>0</v>
      </c>
      <c r="C132" s="96"/>
      <c r="D132" s="96"/>
      <c r="E132" s="96"/>
      <c r="F132" s="96"/>
      <c r="G132" s="96"/>
      <c r="H132" s="96"/>
    </row>
    <row r="133" spans="1:8" hidden="1">
      <c r="A133" s="95"/>
      <c r="B133" s="96">
        <f t="shared" si="25"/>
        <v>0</v>
      </c>
      <c r="C133" s="96"/>
      <c r="D133" s="96"/>
      <c r="E133" s="96"/>
      <c r="F133" s="96"/>
      <c r="G133" s="96"/>
      <c r="H133" s="96"/>
    </row>
    <row r="134" spans="1:8" hidden="1">
      <c r="A134" s="95"/>
      <c r="B134" s="96"/>
      <c r="C134" s="96"/>
      <c r="D134" s="96"/>
      <c r="E134" s="96"/>
      <c r="F134" s="96"/>
      <c r="G134" s="96"/>
      <c r="H134" s="96"/>
    </row>
    <row r="135" spans="1:8" hidden="1">
      <c r="A135" s="95">
        <f>A65</f>
        <v>0</v>
      </c>
      <c r="B135" s="96"/>
      <c r="C135" s="96"/>
      <c r="D135" s="96"/>
      <c r="E135" s="96"/>
      <c r="F135" s="96"/>
      <c r="G135" s="96"/>
      <c r="H135" s="96"/>
    </row>
    <row r="136" spans="1:8" hidden="1">
      <c r="A136" s="95"/>
      <c r="B136" s="96"/>
      <c r="C136" s="96"/>
      <c r="D136" s="96"/>
      <c r="E136" s="96"/>
      <c r="F136" s="96"/>
      <c r="G136" s="96"/>
      <c r="H136" s="96"/>
    </row>
    <row r="137" spans="1:8" hidden="1">
      <c r="A137" s="95"/>
      <c r="B137" s="96"/>
      <c r="C137" s="96"/>
      <c r="D137" s="96"/>
      <c r="E137" s="96"/>
      <c r="F137" s="96"/>
      <c r="G137" s="96"/>
      <c r="H137" s="96"/>
    </row>
    <row r="138" spans="1:8" hidden="1">
      <c r="A138" s="95"/>
      <c r="B138" s="96"/>
      <c r="C138" s="96"/>
      <c r="D138" s="96"/>
      <c r="E138" s="96"/>
      <c r="F138" s="96"/>
      <c r="G138" s="96"/>
      <c r="H138" s="96"/>
    </row>
    <row r="139" spans="1:8">
      <c r="A139" s="186"/>
      <c r="B139" s="309"/>
      <c r="C139" s="309"/>
      <c r="D139" s="309"/>
      <c r="E139" s="309"/>
      <c r="F139" s="309"/>
      <c r="G139" s="309"/>
      <c r="H139" s="309"/>
    </row>
    <row r="140" spans="1:8" hidden="1">
      <c r="A140" s="187" t="s">
        <v>414</v>
      </c>
    </row>
    <row r="141" spans="1:8" hidden="1">
      <c r="A141" t="str">
        <f>A44</f>
        <v xml:space="preserve">Mango </v>
      </c>
      <c r="B141" s="29"/>
      <c r="C141" s="29">
        <f t="shared" ref="B141:C143" si="26">(C124*100)</f>
        <v>0</v>
      </c>
      <c r="D141" s="29">
        <f t="shared" ref="D141:H141" si="27">(D124*100)</f>
        <v>0</v>
      </c>
      <c r="E141" s="29">
        <f t="shared" si="27"/>
        <v>0</v>
      </c>
      <c r="F141" s="29">
        <f t="shared" si="27"/>
        <v>0</v>
      </c>
      <c r="G141" s="29">
        <f t="shared" si="27"/>
        <v>0</v>
      </c>
      <c r="H141" s="29">
        <f t="shared" si="27"/>
        <v>0</v>
      </c>
    </row>
    <row r="142" spans="1:8" hidden="1">
      <c r="A142" t="str">
        <f t="shared" ref="A142:A143" si="28">A45</f>
        <v>Custard Apple</v>
      </c>
      <c r="B142" s="29">
        <f t="shared" si="26"/>
        <v>0</v>
      </c>
      <c r="C142" s="29">
        <f t="shared" si="26"/>
        <v>0</v>
      </c>
      <c r="D142" s="29">
        <f t="shared" ref="D142:H142" si="29">(D125*100)</f>
        <v>0</v>
      </c>
      <c r="E142" s="29">
        <f t="shared" si="29"/>
        <v>0</v>
      </c>
      <c r="F142" s="29">
        <f t="shared" si="29"/>
        <v>0</v>
      </c>
      <c r="G142" s="29">
        <f t="shared" si="29"/>
        <v>0</v>
      </c>
      <c r="H142" s="29">
        <f t="shared" si="29"/>
        <v>0</v>
      </c>
    </row>
    <row r="143" spans="1:8" hidden="1">
      <c r="A143" t="str">
        <f t="shared" si="28"/>
        <v>Guava</v>
      </c>
      <c r="B143" s="29">
        <f t="shared" si="26"/>
        <v>0</v>
      </c>
      <c r="C143" s="29">
        <f t="shared" si="26"/>
        <v>0</v>
      </c>
      <c r="D143" s="29">
        <f t="shared" ref="D143:H143" si="30">(D126*100)</f>
        <v>0</v>
      </c>
      <c r="E143" s="29">
        <f t="shared" si="30"/>
        <v>0</v>
      </c>
      <c r="F143" s="29">
        <f t="shared" si="30"/>
        <v>0</v>
      </c>
      <c r="G143" s="29">
        <f t="shared" si="30"/>
        <v>0</v>
      </c>
      <c r="H143" s="29">
        <f t="shared" si="30"/>
        <v>0</v>
      </c>
    </row>
    <row r="144" spans="1:8" hidden="1"/>
    <row r="145" spans="1:10">
      <c r="B145" s="29"/>
      <c r="C145" s="29"/>
    </row>
    <row r="146" spans="1:10">
      <c r="B146" s="29"/>
      <c r="C146" s="29"/>
      <c r="D146" s="29"/>
    </row>
    <row r="147" spans="1:10" ht="18.75">
      <c r="A147" s="425" t="s">
        <v>554</v>
      </c>
      <c r="B147" s="425"/>
      <c r="C147" s="425"/>
      <c r="D147" s="425"/>
      <c r="E147" s="425"/>
      <c r="F147" s="425"/>
      <c r="G147" s="425"/>
      <c r="H147" s="425"/>
      <c r="I147" s="425"/>
      <c r="J147" s="425"/>
    </row>
    <row r="148" spans="1:10">
      <c r="A148" s="321"/>
      <c r="B148" s="321"/>
      <c r="C148" s="321"/>
      <c r="D148" s="321"/>
      <c r="E148" s="321"/>
      <c r="F148" s="321"/>
      <c r="G148" s="321"/>
      <c r="H148" s="321"/>
    </row>
    <row r="149" spans="1:10">
      <c r="A149" s="324"/>
      <c r="B149" s="324"/>
      <c r="C149" s="324"/>
      <c r="D149" s="193">
        <v>1</v>
      </c>
      <c r="E149" s="194">
        <f>(D149*5%)+D149</f>
        <v>1.05</v>
      </c>
      <c r="F149" s="194">
        <f t="shared" ref="F149:J149" si="31">(E149*5%)+E149</f>
        <v>1.1025</v>
      </c>
      <c r="G149" s="194">
        <f t="shared" si="31"/>
        <v>1.1576250000000001</v>
      </c>
      <c r="H149" s="194">
        <f t="shared" si="31"/>
        <v>1.2155062500000002</v>
      </c>
      <c r="I149" s="194">
        <f t="shared" si="31"/>
        <v>1.2762815625000004</v>
      </c>
      <c r="J149" s="194">
        <f t="shared" si="31"/>
        <v>1.3400956406250004</v>
      </c>
    </row>
    <row r="150" spans="1:10">
      <c r="A150" s="94"/>
      <c r="B150" s="94"/>
      <c r="C150" s="94"/>
      <c r="D150" s="94"/>
      <c r="E150" s="94"/>
      <c r="F150" s="94"/>
      <c r="G150" s="94"/>
      <c r="H150" s="94"/>
      <c r="I150" s="94"/>
      <c r="J150" s="94"/>
    </row>
    <row r="151" spans="1:10">
      <c r="A151" s="148" t="s">
        <v>0</v>
      </c>
      <c r="B151" s="148" t="s">
        <v>97</v>
      </c>
      <c r="C151" s="148" t="s">
        <v>118</v>
      </c>
      <c r="D151" s="120" t="s">
        <v>2</v>
      </c>
      <c r="E151" s="120" t="s">
        <v>3</v>
      </c>
      <c r="F151" s="120" t="s">
        <v>4</v>
      </c>
      <c r="G151" s="120" t="s">
        <v>5</v>
      </c>
      <c r="H151" s="120" t="s">
        <v>6</v>
      </c>
      <c r="I151" s="120" t="s">
        <v>134</v>
      </c>
      <c r="J151" s="120" t="s">
        <v>133</v>
      </c>
    </row>
    <row r="152" spans="1:10">
      <c r="A152" s="95"/>
      <c r="B152" s="95"/>
      <c r="C152" s="95"/>
      <c r="D152" s="95"/>
      <c r="E152" s="95"/>
      <c r="F152" s="95"/>
      <c r="G152" s="95"/>
      <c r="H152" s="95"/>
      <c r="I152" s="95"/>
      <c r="J152" s="95"/>
    </row>
    <row r="153" spans="1:10">
      <c r="A153" s="97" t="s">
        <v>91</v>
      </c>
      <c r="B153" s="97"/>
      <c r="C153" s="97"/>
      <c r="D153" s="114"/>
      <c r="E153" s="114"/>
      <c r="F153" s="114"/>
      <c r="G153" s="114"/>
      <c r="H153" s="114"/>
      <c r="I153" s="95"/>
      <c r="J153" s="95"/>
    </row>
    <row r="154" spans="1:10">
      <c r="A154" s="95" t="str">
        <f>A44</f>
        <v xml:space="preserve">Mango </v>
      </c>
      <c r="B154" s="232" t="s">
        <v>485</v>
      </c>
      <c r="C154" s="232">
        <v>18000</v>
      </c>
      <c r="D154" s="96">
        <f>(B67*(1-'5.Closing Stock &amp; W Capital'!$D$18)*$C154*D$149)</f>
        <v>14056825.859999999</v>
      </c>
      <c r="E154" s="96">
        <f>(C67*(1-'5.Closing Stock &amp; W Capital'!$D$18)*$C154*E$149)</f>
        <v>15095114.133750001</v>
      </c>
      <c r="F154" s="96">
        <f>(D67*(1-'5.Closing Stock &amp; W Capital'!$D$18)*$C154*F$149)</f>
        <v>16202089.170225</v>
      </c>
      <c r="G154" s="96">
        <f>(E67*(1-'5.Closing Stock &amp; W Capital'!$D$18)*$C154*G$149)</f>
        <v>17382023.925013129</v>
      </c>
      <c r="H154" s="96">
        <f>(F67*(1-'5.Closing Stock &amp; W Capital'!$D$18)*$C154*H$149)</f>
        <v>18639446.932354506</v>
      </c>
      <c r="I154" s="96">
        <f>(G67*(1-'5.Closing Stock &amp; W Capital'!$D$18)*$C154*I$149)</f>
        <v>19979157.180617493</v>
      </c>
      <c r="J154" s="96">
        <f>(H67*(1-'5.Closing Stock &amp; W Capital'!$D$18)*$C154*J$149)</f>
        <v>21406239.836375881</v>
      </c>
    </row>
    <row r="155" spans="1:10">
      <c r="A155" s="95" t="str">
        <f>A45</f>
        <v>Custard Apple</v>
      </c>
      <c r="B155" s="232" t="s">
        <v>485</v>
      </c>
      <c r="C155" s="232">
        <v>20000</v>
      </c>
      <c r="D155" s="96">
        <f>(B71*(1-'5.Closing Stock &amp; W Capital'!$D$18)*$C155*D$149)</f>
        <v>6594560.2800000003</v>
      </c>
      <c r="E155" s="96">
        <f>(C71*(1-'5.Closing Stock &amp; W Capital'!$D$18)*$C155*E$149)</f>
        <v>7081658.4825000018</v>
      </c>
      <c r="F155" s="96">
        <f>(D71*(1-'5.Closing Stock &amp; W Capital'!$D$18)*$C155*F$149)</f>
        <v>7600980.1045499993</v>
      </c>
      <c r="G155" s="96">
        <f>(E71*(1-'5.Closing Stock &amp; W Capital'!$D$18)*$C155*G$149)</f>
        <v>8154529.7425987516</v>
      </c>
      <c r="H155" s="96">
        <f>(F71*(1-'5.Closing Stock &amp; W Capital'!$D$18)*$C155*H$149)</f>
        <v>8744431.8941910025</v>
      </c>
      <c r="I155" s="96">
        <f>(G71*(1-'5.Closing Stock &amp; W Capital'!$D$18)*$C155*I$149)</f>
        <v>9372937.9365859814</v>
      </c>
      <c r="J155" s="96">
        <f>(H71*(1-'5.Closing Stock &amp; W Capital'!$D$18)*$C155*J$149)</f>
        <v>10042433.503484979</v>
      </c>
    </row>
    <row r="156" spans="1:10">
      <c r="A156" s="95" t="str">
        <f>A46</f>
        <v>Guava</v>
      </c>
      <c r="B156" s="232" t="s">
        <v>485</v>
      </c>
      <c r="C156" s="232">
        <v>9000</v>
      </c>
      <c r="D156" s="96">
        <f>(B75*(1-'5.Closing Stock &amp; W Capital'!$D$18)*$C156*D$149)</f>
        <v>2603115.8999999994</v>
      </c>
      <c r="E156" s="96">
        <f>(C75*(1-'5.Closing Stock &amp; W Capital'!$D$18)*$C156*E$149)</f>
        <v>2795391.5062500001</v>
      </c>
      <c r="F156" s="96">
        <f>(D75*(1-'5.Closing Stock &amp; W Capital'!$D$18)*$C156*F$149)</f>
        <v>3000386.8833749997</v>
      </c>
      <c r="G156" s="96">
        <f>(E75*(1-'5.Closing Stock &amp; W Capital'!$D$18)*$C156*G$149)</f>
        <v>3218893.3194468752</v>
      </c>
      <c r="H156" s="96">
        <f>(F75*(1-'5.Closing Stock &amp; W Capital'!$D$18)*$C156*H$149)</f>
        <v>3451749.4319174998</v>
      </c>
      <c r="I156" s="96">
        <f>(G75*(1-'5.Closing Stock &amp; W Capital'!$D$18)*$C156*I$149)</f>
        <v>3699843.9223365714</v>
      </c>
      <c r="J156" s="96">
        <f>(H75*(1-'5.Closing Stock &amp; W Capital'!$D$18)*$C156*J$149)</f>
        <v>3964118.4882177543</v>
      </c>
    </row>
    <row r="157" spans="1:10">
      <c r="A157" s="95"/>
      <c r="B157" s="232"/>
      <c r="C157" s="232"/>
      <c r="D157" s="96"/>
      <c r="E157" s="96"/>
      <c r="F157" s="96"/>
      <c r="G157" s="96"/>
      <c r="H157" s="96"/>
      <c r="I157" s="96"/>
      <c r="J157" s="96"/>
    </row>
    <row r="158" spans="1:10">
      <c r="A158" s="95"/>
      <c r="B158" s="95"/>
      <c r="C158" s="95"/>
      <c r="D158" s="96"/>
      <c r="E158" s="96"/>
      <c r="F158" s="96"/>
      <c r="G158" s="96"/>
      <c r="H158" s="96"/>
      <c r="I158" s="96"/>
      <c r="J158" s="96"/>
    </row>
    <row r="159" spans="1:10">
      <c r="A159" s="97" t="s">
        <v>91</v>
      </c>
      <c r="B159" s="97"/>
      <c r="C159" s="97"/>
      <c r="D159" s="115">
        <f t="shared" ref="D159:J159" si="32">SUM(D154:D157)</f>
        <v>23254502.039999999</v>
      </c>
      <c r="E159" s="115">
        <f t="shared" si="32"/>
        <v>24972164.122500002</v>
      </c>
      <c r="F159" s="115">
        <f t="shared" si="32"/>
        <v>26803456.158149999</v>
      </c>
      <c r="G159" s="115">
        <f t="shared" si="32"/>
        <v>28755446.987058759</v>
      </c>
      <c r="H159" s="115">
        <f t="shared" si="32"/>
        <v>30835628.258463006</v>
      </c>
      <c r="I159" s="115">
        <f t="shared" si="32"/>
        <v>33051939.039540045</v>
      </c>
      <c r="J159" s="115">
        <f t="shared" si="32"/>
        <v>35412791.828078613</v>
      </c>
    </row>
    <row r="160" spans="1:10">
      <c r="A160" s="95"/>
      <c r="B160" s="95"/>
      <c r="C160" s="95"/>
      <c r="D160" s="96"/>
      <c r="E160" s="96"/>
      <c r="F160" s="96"/>
      <c r="G160" s="96"/>
      <c r="H160" s="96"/>
      <c r="I160" s="96"/>
      <c r="J160" s="96"/>
    </row>
    <row r="161" spans="1:19">
      <c r="A161" s="97" t="s">
        <v>107</v>
      </c>
      <c r="B161" s="97"/>
      <c r="C161" s="97"/>
      <c r="D161" s="96"/>
      <c r="E161" s="96"/>
      <c r="F161" s="96"/>
      <c r="G161" s="96"/>
      <c r="H161" s="96"/>
      <c r="I161" s="96"/>
      <c r="J161" s="96"/>
      <c r="L161" t="s">
        <v>647</v>
      </c>
      <c r="M161">
        <v>10</v>
      </c>
      <c r="N161">
        <f>10*450</f>
        <v>4500</v>
      </c>
      <c r="O161">
        <f>+N161*150</f>
        <v>675000</v>
      </c>
      <c r="P161">
        <f>N161*300</f>
        <v>1350000</v>
      </c>
    </row>
    <row r="162" spans="1:19">
      <c r="A162" s="97" t="s">
        <v>266</v>
      </c>
      <c r="B162" s="97"/>
      <c r="C162" s="95"/>
      <c r="D162" s="96"/>
      <c r="E162" s="96"/>
      <c r="F162" s="96"/>
      <c r="G162" s="96"/>
      <c r="H162" s="96"/>
      <c r="I162" s="96"/>
      <c r="J162" s="96"/>
      <c r="L162" t="s">
        <v>648</v>
      </c>
      <c r="M162">
        <v>2</v>
      </c>
      <c r="N162">
        <f>300*2</f>
        <v>600</v>
      </c>
      <c r="O162">
        <f>+N162*150</f>
        <v>90000</v>
      </c>
      <c r="P162">
        <f>N162*300</f>
        <v>180000</v>
      </c>
    </row>
    <row r="163" spans="1:19">
      <c r="A163" s="99" t="str">
        <f>A154</f>
        <v xml:space="preserve">Mango </v>
      </c>
      <c r="B163" s="232" t="s">
        <v>320</v>
      </c>
      <c r="C163" s="256">
        <v>6000</v>
      </c>
      <c r="D163" s="96">
        <f>B67*$C163*D$149</f>
        <v>4932219.6000000006</v>
      </c>
      <c r="E163" s="96">
        <f t="shared" ref="E163:J163" si="33">C67*$C163*E$149</f>
        <v>5296531.2750000013</v>
      </c>
      <c r="F163" s="96">
        <f t="shared" si="33"/>
        <v>5684943.568500001</v>
      </c>
      <c r="G163" s="96">
        <f t="shared" si="33"/>
        <v>6098955.7631625012</v>
      </c>
      <c r="H163" s="96">
        <f t="shared" si="33"/>
        <v>6540156.8183700023</v>
      </c>
      <c r="I163" s="96">
        <f t="shared" si="33"/>
        <v>7010230.5896903491</v>
      </c>
      <c r="J163" s="96">
        <f t="shared" si="33"/>
        <v>7510961.3460968016</v>
      </c>
      <c r="N163">
        <f>+N161+N162</f>
        <v>5100</v>
      </c>
      <c r="O163" s="5">
        <f>+O161+O162</f>
        <v>765000</v>
      </c>
      <c r="P163">
        <f>SUM(P161:P162)</f>
        <v>1530000</v>
      </c>
    </row>
    <row r="164" spans="1:19">
      <c r="A164" s="99" t="str">
        <f t="shared" ref="A164:A165" si="34">A155</f>
        <v>Custard Apple</v>
      </c>
      <c r="B164" s="232" t="s">
        <v>320</v>
      </c>
      <c r="C164" s="256">
        <v>8000</v>
      </c>
      <c r="D164" s="96">
        <f>B71*$C164*D$149</f>
        <v>2776656.9600000004</v>
      </c>
      <c r="E164" s="96">
        <f t="shared" ref="E164:J164" si="35">C71*$C164*E$149</f>
        <v>2981750.9400000004</v>
      </c>
      <c r="F164" s="96">
        <f t="shared" si="35"/>
        <v>3200412.6756000002</v>
      </c>
      <c r="G164" s="96">
        <f t="shared" si="35"/>
        <v>3433486.2074100007</v>
      </c>
      <c r="H164" s="96">
        <f t="shared" si="35"/>
        <v>3681866.0607120013</v>
      </c>
      <c r="I164" s="96">
        <f t="shared" si="35"/>
        <v>3946500.1838256763</v>
      </c>
      <c r="J164" s="96">
        <f t="shared" si="35"/>
        <v>4228393.0540989386</v>
      </c>
      <c r="N164">
        <f>+N163/2</f>
        <v>2550</v>
      </c>
    </row>
    <row r="165" spans="1:19">
      <c r="A165" s="99" t="str">
        <f t="shared" si="34"/>
        <v>Guava</v>
      </c>
      <c r="B165" s="232" t="s">
        <v>320</v>
      </c>
      <c r="C165" s="256">
        <v>3000</v>
      </c>
      <c r="D165" s="96">
        <f>B75*$C165*D$149</f>
        <v>913373.99999999988</v>
      </c>
      <c r="E165" s="96">
        <f t="shared" ref="E165:J165" si="36">C75*$C165*E$149</f>
        <v>980839.125</v>
      </c>
      <c r="F165" s="96">
        <f t="shared" si="36"/>
        <v>1052767.3274999999</v>
      </c>
      <c r="G165" s="96">
        <f t="shared" si="36"/>
        <v>1129436.2524375001</v>
      </c>
      <c r="H165" s="96">
        <f t="shared" si="36"/>
        <v>1211140.1515500001</v>
      </c>
      <c r="I165" s="96">
        <f t="shared" si="36"/>
        <v>1298190.8499426567</v>
      </c>
      <c r="J165" s="96">
        <f t="shared" si="36"/>
        <v>1390918.7677957034</v>
      </c>
      <c r="L165" s="390" t="s">
        <v>109</v>
      </c>
    </row>
    <row r="166" spans="1:19">
      <c r="A166" s="95" t="s">
        <v>486</v>
      </c>
      <c r="B166" s="232" t="s">
        <v>320</v>
      </c>
      <c r="C166" s="232"/>
      <c r="D166" s="96"/>
      <c r="E166" s="96"/>
      <c r="F166" s="96"/>
      <c r="G166" s="96"/>
      <c r="H166" s="96"/>
      <c r="I166" s="96"/>
      <c r="J166" s="96"/>
      <c r="L166">
        <v>25000</v>
      </c>
    </row>
    <row r="167" spans="1:19">
      <c r="A167" s="95" t="s">
        <v>276</v>
      </c>
      <c r="B167" s="232"/>
      <c r="C167" s="232"/>
      <c r="D167" s="96">
        <f>P163</f>
        <v>1530000</v>
      </c>
      <c r="E167" s="96">
        <f t="shared" ref="E167:J167" si="37">D167*E149</f>
        <v>1606500</v>
      </c>
      <c r="F167" s="96">
        <f t="shared" si="37"/>
        <v>1771166.25</v>
      </c>
      <c r="G167" s="96">
        <f t="shared" si="37"/>
        <v>2050346.3301562502</v>
      </c>
      <c r="H167" s="96">
        <f t="shared" si="37"/>
        <v>2492208.7789694862</v>
      </c>
      <c r="I167" s="96">
        <f t="shared" si="37"/>
        <v>3180760.1144993939</v>
      </c>
      <c r="J167" s="96">
        <f t="shared" si="37"/>
        <v>4262522.7633145144</v>
      </c>
      <c r="L167">
        <v>25000</v>
      </c>
      <c r="M167" s="198">
        <v>1</v>
      </c>
      <c r="N167" s="199">
        <f>(M167*5%)+M167</f>
        <v>1.05</v>
      </c>
      <c r="O167" s="199">
        <f t="shared" ref="O167:S167" si="38">(N167*5%)+N167</f>
        <v>1.1025</v>
      </c>
      <c r="P167" s="199">
        <f t="shared" si="38"/>
        <v>1.1576250000000001</v>
      </c>
      <c r="Q167" s="199">
        <f t="shared" si="38"/>
        <v>1.2155062500000002</v>
      </c>
      <c r="R167" s="199">
        <f t="shared" si="38"/>
        <v>1.2762815625000004</v>
      </c>
      <c r="S167" s="199">
        <f t="shared" si="38"/>
        <v>1.3400956406250004</v>
      </c>
    </row>
    <row r="168" spans="1:19">
      <c r="A168" s="95" t="s">
        <v>109</v>
      </c>
      <c r="B168" s="95"/>
      <c r="C168" s="232"/>
      <c r="D168" s="96">
        <v>12500</v>
      </c>
      <c r="E168" s="96">
        <f>25000*E149</f>
        <v>26250</v>
      </c>
      <c r="F168" s="96">
        <f t="shared" ref="F168:J168" si="39">25000*F149</f>
        <v>27562.5</v>
      </c>
      <c r="G168" s="96">
        <f t="shared" si="39"/>
        <v>28940.625000000004</v>
      </c>
      <c r="H168" s="96">
        <f t="shared" si="39"/>
        <v>30387.656250000007</v>
      </c>
      <c r="I168" s="96">
        <f t="shared" si="39"/>
        <v>31907.039062500007</v>
      </c>
      <c r="J168" s="96">
        <f t="shared" si="39"/>
        <v>33502.391015625013</v>
      </c>
      <c r="L168" s="390" t="s">
        <v>710</v>
      </c>
      <c r="M168" s="5" t="s">
        <v>11</v>
      </c>
      <c r="N168" s="5" t="s">
        <v>12</v>
      </c>
      <c r="O168" s="5" t="s">
        <v>13</v>
      </c>
      <c r="P168" s="5" t="s">
        <v>14</v>
      </c>
      <c r="Q168" s="5" t="s">
        <v>15</v>
      </c>
      <c r="R168" s="5" t="s">
        <v>16</v>
      </c>
      <c r="S168" s="5" t="s">
        <v>234</v>
      </c>
    </row>
    <row r="169" spans="1:19">
      <c r="A169" s="95" t="s">
        <v>249</v>
      </c>
      <c r="B169" s="95" t="s">
        <v>320</v>
      </c>
      <c r="C169" s="232"/>
      <c r="D169" s="96">
        <v>0</v>
      </c>
      <c r="E169" s="96"/>
      <c r="F169" s="96"/>
      <c r="G169" s="96"/>
      <c r="H169" s="96"/>
      <c r="I169" s="96"/>
      <c r="J169" s="96"/>
      <c r="L169" t="s">
        <v>650</v>
      </c>
      <c r="M169" s="391">
        <f>B39</f>
        <v>1765.8564000000001</v>
      </c>
      <c r="N169" s="391">
        <f t="shared" ref="N169:S169" si="40">C39</f>
        <v>1805.9895000000001</v>
      </c>
      <c r="O169" s="391">
        <f t="shared" si="40"/>
        <v>1846.1226000000001</v>
      </c>
      <c r="P169" s="391">
        <f t="shared" si="40"/>
        <v>1886.2557000000002</v>
      </c>
      <c r="Q169" s="391">
        <f t="shared" si="40"/>
        <v>1926.3888000000002</v>
      </c>
      <c r="R169" s="391">
        <f t="shared" si="40"/>
        <v>1966.5219000000004</v>
      </c>
      <c r="S169" s="391">
        <f t="shared" si="40"/>
        <v>2006.6550000000002</v>
      </c>
    </row>
    <row r="170" spans="1:19">
      <c r="A170" s="109" t="s">
        <v>250</v>
      </c>
      <c r="B170" s="109"/>
      <c r="C170" s="258"/>
      <c r="D170" s="96">
        <f>M174</f>
        <v>485610.51</v>
      </c>
      <c r="E170" s="96">
        <f t="shared" ref="E170:J170" si="41">N174</f>
        <v>521479.46812500007</v>
      </c>
      <c r="F170" s="96">
        <f t="shared" si="41"/>
        <v>559721.2957875001</v>
      </c>
      <c r="G170" s="96">
        <f t="shared" si="41"/>
        <v>600483.60754593753</v>
      </c>
      <c r="H170" s="96">
        <f t="shared" si="41"/>
        <v>643922.84724075021</v>
      </c>
      <c r="I170" s="96">
        <f t="shared" si="41"/>
        <v>690204.80188617925</v>
      </c>
      <c r="J170" s="96">
        <f t="shared" si="41"/>
        <v>739505.14487804926</v>
      </c>
      <c r="L170" s="94" t="s">
        <v>651</v>
      </c>
      <c r="M170" s="392">
        <f>+M169*100</f>
        <v>176585.64</v>
      </c>
      <c r="N170" s="392">
        <f t="shared" ref="N170:S170" si="42">+N169*100</f>
        <v>180598.95</v>
      </c>
      <c r="O170" s="392">
        <f t="shared" si="42"/>
        <v>184612.26</v>
      </c>
      <c r="P170" s="392">
        <f t="shared" si="42"/>
        <v>188625.57</v>
      </c>
      <c r="Q170" s="392">
        <f t="shared" si="42"/>
        <v>192638.88</v>
      </c>
      <c r="R170" s="392">
        <f t="shared" si="42"/>
        <v>196652.19000000003</v>
      </c>
      <c r="S170" s="392">
        <f t="shared" si="42"/>
        <v>200665.50000000003</v>
      </c>
    </row>
    <row r="171" spans="1:19">
      <c r="A171" s="95" t="s">
        <v>251</v>
      </c>
      <c r="B171" s="95"/>
      <c r="C171" s="232"/>
      <c r="D171" s="96">
        <f>M181</f>
        <v>35317.128000000004</v>
      </c>
      <c r="E171" s="96">
        <f t="shared" ref="E171:J171" si="43">N181</f>
        <v>37925.779500000004</v>
      </c>
      <c r="F171" s="96">
        <f t="shared" si="43"/>
        <v>40707.003330000007</v>
      </c>
      <c r="G171" s="96">
        <f t="shared" si="43"/>
        <v>43671.535094250008</v>
      </c>
      <c r="H171" s="96">
        <f t="shared" si="43"/>
        <v>46830.752526600008</v>
      </c>
      <c r="I171" s="96">
        <f t="shared" si="43"/>
        <v>50196.712864449401</v>
      </c>
      <c r="J171" s="96">
        <f t="shared" si="43"/>
        <v>53782.192354767212</v>
      </c>
      <c r="L171" s="94" t="s">
        <v>711</v>
      </c>
      <c r="M171" s="392">
        <v>1</v>
      </c>
      <c r="N171" s="392">
        <v>1</v>
      </c>
      <c r="O171" s="392">
        <v>1</v>
      </c>
      <c r="P171" s="392">
        <v>1</v>
      </c>
      <c r="Q171" s="392">
        <v>1</v>
      </c>
      <c r="R171" s="392">
        <v>1</v>
      </c>
      <c r="S171" s="392">
        <v>1</v>
      </c>
    </row>
    <row r="172" spans="1:19">
      <c r="A172" s="10"/>
      <c r="B172" s="10"/>
      <c r="C172" s="10"/>
      <c r="D172" s="10"/>
      <c r="E172" s="10"/>
      <c r="F172" s="10"/>
      <c r="G172" s="10"/>
      <c r="H172" s="10"/>
      <c r="I172" s="10"/>
      <c r="J172" s="10"/>
      <c r="L172" s="94" t="s">
        <v>712</v>
      </c>
      <c r="M172" s="392">
        <f>+M170/M171</f>
        <v>176585.64</v>
      </c>
      <c r="N172" s="392">
        <f t="shared" ref="N172:S172" si="44">+N170/N171</f>
        <v>180598.95</v>
      </c>
      <c r="O172" s="392">
        <f t="shared" si="44"/>
        <v>184612.26</v>
      </c>
      <c r="P172" s="392">
        <f t="shared" si="44"/>
        <v>188625.57</v>
      </c>
      <c r="Q172" s="392">
        <f t="shared" si="44"/>
        <v>192638.88</v>
      </c>
      <c r="R172" s="392">
        <f t="shared" si="44"/>
        <v>196652.19000000003</v>
      </c>
      <c r="S172" s="392">
        <f t="shared" si="44"/>
        <v>200665.50000000003</v>
      </c>
    </row>
    <row r="173" spans="1:19">
      <c r="A173" s="195" t="s">
        <v>299</v>
      </c>
      <c r="B173" s="96"/>
      <c r="C173" s="96"/>
      <c r="D173" s="96"/>
      <c r="E173" s="96">
        <f>+D174</f>
        <v>534283.90990000009</v>
      </c>
      <c r="F173" s="96">
        <f t="shared" ref="F173:J173" si="45">+E174</f>
        <v>572563.82938125019</v>
      </c>
      <c r="G173" s="96">
        <f t="shared" si="45"/>
        <v>616864.03103587509</v>
      </c>
      <c r="H173" s="96">
        <f t="shared" si="45"/>
        <v>669266.01604032202</v>
      </c>
      <c r="I173" s="96">
        <f t="shared" si="45"/>
        <v>732325.653280942</v>
      </c>
      <c r="J173" s="96">
        <f t="shared" si="45"/>
        <v>810399.51458856021</v>
      </c>
      <c r="L173" s="94" t="s">
        <v>654</v>
      </c>
      <c r="M173" s="393">
        <v>2.75</v>
      </c>
      <c r="N173" s="393">
        <v>2.75</v>
      </c>
      <c r="O173" s="393">
        <v>2.75</v>
      </c>
      <c r="P173" s="393">
        <v>2.75</v>
      </c>
      <c r="Q173" s="393">
        <v>2.75</v>
      </c>
      <c r="R173" s="393">
        <v>2.75</v>
      </c>
      <c r="S173" s="393">
        <v>2.75</v>
      </c>
    </row>
    <row r="174" spans="1:19">
      <c r="A174" s="195" t="s">
        <v>300</v>
      </c>
      <c r="B174" s="96"/>
      <c r="C174" s="96"/>
      <c r="D174" s="96">
        <f>+'5.Closing Stock &amp; W Capital'!E18</f>
        <v>534283.90990000009</v>
      </c>
      <c r="E174" s="96">
        <f>+'5.Closing Stock &amp; W Capital'!F18</f>
        <v>572563.82938125019</v>
      </c>
      <c r="F174" s="96">
        <f>+'5.Closing Stock &amp; W Capital'!G18</f>
        <v>616864.03103587509</v>
      </c>
      <c r="G174" s="96">
        <f>+'5.Closing Stock &amp; W Capital'!H18</f>
        <v>669266.01604032202</v>
      </c>
      <c r="H174" s="96">
        <f>+'5.Closing Stock &amp; W Capital'!I18</f>
        <v>732325.653280942</v>
      </c>
      <c r="I174" s="96">
        <f>+'5.Closing Stock &amp; W Capital'!J18</f>
        <v>810399.51458856021</v>
      </c>
      <c r="J174" s="96">
        <f>+'5.Closing Stock &amp; W Capital'!K18</f>
        <v>910979.28297772026</v>
      </c>
      <c r="L174" s="116" t="s">
        <v>286</v>
      </c>
      <c r="M174" s="394">
        <f>+M172*M173*M167</f>
        <v>485610.51</v>
      </c>
      <c r="N174" s="394">
        <f t="shared" ref="N174:S174" si="46">+N172*N173*N167</f>
        <v>521479.46812500007</v>
      </c>
      <c r="O174" s="394">
        <f t="shared" si="46"/>
        <v>559721.2957875001</v>
      </c>
      <c r="P174" s="394">
        <f t="shared" si="46"/>
        <v>600483.60754593753</v>
      </c>
      <c r="Q174" s="394">
        <f t="shared" si="46"/>
        <v>643922.84724075021</v>
      </c>
      <c r="R174" s="394">
        <f t="shared" si="46"/>
        <v>690204.80188617925</v>
      </c>
      <c r="S174" s="394">
        <f t="shared" si="46"/>
        <v>739505.14487804926</v>
      </c>
    </row>
    <row r="175" spans="1:19">
      <c r="A175" s="96"/>
      <c r="B175" s="96"/>
      <c r="C175" s="96"/>
      <c r="D175" s="96"/>
      <c r="E175" s="96"/>
      <c r="F175" s="96"/>
      <c r="G175" s="96"/>
      <c r="H175" s="96"/>
      <c r="I175" s="96"/>
      <c r="J175" s="96"/>
      <c r="L175" s="94"/>
      <c r="M175" s="392"/>
      <c r="N175" s="392"/>
      <c r="O175" s="392"/>
      <c r="P175" s="392"/>
      <c r="Q175" s="392"/>
      <c r="R175" s="392"/>
      <c r="S175" s="392"/>
    </row>
    <row r="176" spans="1:19">
      <c r="A176" s="115" t="s">
        <v>277</v>
      </c>
      <c r="B176" s="96"/>
      <c r="C176" s="96"/>
      <c r="D176" s="115">
        <f t="shared" ref="D176:J176" si="47">SUM(D163:D173)-D174</f>
        <v>10151394.2881</v>
      </c>
      <c r="E176" s="115">
        <f t="shared" si="47"/>
        <v>11412996.668143753</v>
      </c>
      <c r="F176" s="115">
        <f t="shared" si="47"/>
        <v>12292980.419062875</v>
      </c>
      <c r="G176" s="115">
        <f t="shared" si="47"/>
        <v>13332918.335801994</v>
      </c>
      <c r="H176" s="115">
        <f t="shared" si="47"/>
        <v>14583453.428378219</v>
      </c>
      <c r="I176" s="115">
        <f t="shared" si="47"/>
        <v>16129916.430463586</v>
      </c>
      <c r="J176" s="115">
        <f t="shared" si="47"/>
        <v>18119005.891165245</v>
      </c>
      <c r="L176" s="94"/>
      <c r="M176" s="198">
        <v>1</v>
      </c>
      <c r="N176" s="199">
        <f>(M176*5%)+M176</f>
        <v>1.05</v>
      </c>
      <c r="O176" s="199">
        <f t="shared" ref="O176:S176" si="48">(N176*5%)+N176</f>
        <v>1.1025</v>
      </c>
      <c r="P176" s="199">
        <f t="shared" si="48"/>
        <v>1.1576250000000001</v>
      </c>
      <c r="Q176" s="199">
        <f t="shared" si="48"/>
        <v>1.2155062500000002</v>
      </c>
      <c r="R176" s="199">
        <f t="shared" si="48"/>
        <v>1.2762815625000004</v>
      </c>
      <c r="S176" s="199">
        <f t="shared" si="48"/>
        <v>1.3400956406250004</v>
      </c>
    </row>
    <row r="177" spans="1:19">
      <c r="A177" s="94"/>
      <c r="B177" s="94"/>
      <c r="C177" s="94"/>
      <c r="D177" s="94"/>
      <c r="E177" s="94"/>
      <c r="F177" s="94"/>
      <c r="G177" s="94"/>
      <c r="H177" s="94"/>
      <c r="I177" s="94"/>
      <c r="J177" s="94"/>
      <c r="L177" s="116" t="s">
        <v>137</v>
      </c>
      <c r="M177" s="5" t="s">
        <v>11</v>
      </c>
      <c r="N177" s="5" t="s">
        <v>12</v>
      </c>
      <c r="O177" s="5" t="s">
        <v>13</v>
      </c>
      <c r="P177" s="5" t="s">
        <v>14</v>
      </c>
      <c r="Q177" s="5" t="s">
        <v>15</v>
      </c>
      <c r="R177" s="5" t="s">
        <v>16</v>
      </c>
      <c r="S177" s="5" t="s">
        <v>234</v>
      </c>
    </row>
    <row r="178" spans="1:19">
      <c r="A178" s="196" t="s">
        <v>264</v>
      </c>
      <c r="B178" s="196"/>
      <c r="C178" s="196"/>
      <c r="D178" s="115"/>
      <c r="E178" s="115"/>
      <c r="F178" s="115"/>
      <c r="G178" s="115"/>
      <c r="H178" s="115"/>
      <c r="I178" s="115"/>
      <c r="J178" s="115"/>
      <c r="L178" t="s">
        <v>650</v>
      </c>
      <c r="M178" s="392">
        <f>+M169</f>
        <v>1765.8564000000001</v>
      </c>
      <c r="N178" s="392">
        <f t="shared" ref="N178:S179" si="49">+N169</f>
        <v>1805.9895000000001</v>
      </c>
      <c r="O178" s="392">
        <f t="shared" si="49"/>
        <v>1846.1226000000001</v>
      </c>
      <c r="P178" s="392">
        <f t="shared" si="49"/>
        <v>1886.2557000000002</v>
      </c>
      <c r="Q178" s="392">
        <f t="shared" si="49"/>
        <v>1926.3888000000002</v>
      </c>
      <c r="R178" s="392">
        <f t="shared" si="49"/>
        <v>1966.5219000000004</v>
      </c>
      <c r="S178" s="392">
        <f t="shared" si="49"/>
        <v>2006.6550000000002</v>
      </c>
    </row>
    <row r="179" spans="1:19">
      <c r="A179" s="95" t="s">
        <v>153</v>
      </c>
      <c r="B179" s="232">
        <v>1</v>
      </c>
      <c r="C179" s="256">
        <v>25000</v>
      </c>
      <c r="D179" s="96">
        <f t="shared" ref="D179:J179" si="50">$B$179*$C$179*12*D149</f>
        <v>300000</v>
      </c>
      <c r="E179" s="96">
        <f t="shared" si="50"/>
        <v>315000</v>
      </c>
      <c r="F179" s="96">
        <f t="shared" si="50"/>
        <v>330750</v>
      </c>
      <c r="G179" s="96">
        <f t="shared" si="50"/>
        <v>347287.50000000006</v>
      </c>
      <c r="H179" s="96">
        <f t="shared" si="50"/>
        <v>364651.87500000006</v>
      </c>
      <c r="I179" s="96">
        <f t="shared" si="50"/>
        <v>382884.46875000012</v>
      </c>
      <c r="J179" s="96">
        <f t="shared" si="50"/>
        <v>402028.69218750013</v>
      </c>
      <c r="L179" s="94" t="s">
        <v>651</v>
      </c>
      <c r="M179" s="392">
        <f>+M170</f>
        <v>176585.64</v>
      </c>
      <c r="N179" s="392">
        <f t="shared" si="49"/>
        <v>180598.95</v>
      </c>
      <c r="O179" s="392">
        <f t="shared" si="49"/>
        <v>184612.26</v>
      </c>
      <c r="P179" s="392">
        <f t="shared" si="49"/>
        <v>188625.57</v>
      </c>
      <c r="Q179" s="392">
        <f t="shared" si="49"/>
        <v>192638.88</v>
      </c>
      <c r="R179" s="392">
        <f t="shared" si="49"/>
        <v>196652.19000000003</v>
      </c>
      <c r="S179" s="392">
        <f t="shared" si="49"/>
        <v>200665.50000000003</v>
      </c>
    </row>
    <row r="180" spans="1:19">
      <c r="A180" s="95" t="s">
        <v>158</v>
      </c>
      <c r="B180" s="232">
        <v>2</v>
      </c>
      <c r="C180" s="256"/>
      <c r="D180" s="96">
        <f t="shared" ref="D180:J180" si="51">$B$180*$C$180*12*D149</f>
        <v>0</v>
      </c>
      <c r="E180" s="96">
        <f t="shared" si="51"/>
        <v>0</v>
      </c>
      <c r="F180" s="96">
        <f t="shared" si="51"/>
        <v>0</v>
      </c>
      <c r="G180" s="96">
        <f t="shared" si="51"/>
        <v>0</v>
      </c>
      <c r="H180" s="96">
        <f t="shared" si="51"/>
        <v>0</v>
      </c>
      <c r="I180" s="96">
        <f t="shared" si="51"/>
        <v>0</v>
      </c>
      <c r="J180" s="96">
        <f t="shared" si="51"/>
        <v>0</v>
      </c>
      <c r="L180" s="94" t="s">
        <v>655</v>
      </c>
      <c r="M180" s="392">
        <v>20</v>
      </c>
      <c r="N180" s="392">
        <v>20</v>
      </c>
      <c r="O180" s="392">
        <v>20</v>
      </c>
      <c r="P180" s="392">
        <v>20</v>
      </c>
      <c r="Q180" s="392">
        <v>20</v>
      </c>
      <c r="R180" s="392">
        <v>20</v>
      </c>
      <c r="S180" s="392">
        <v>20</v>
      </c>
    </row>
    <row r="181" spans="1:19">
      <c r="A181" s="95"/>
      <c r="B181" s="232"/>
      <c r="C181" s="256"/>
      <c r="D181" s="96"/>
      <c r="E181" s="96"/>
      <c r="F181" s="96"/>
      <c r="G181" s="96"/>
      <c r="H181" s="96"/>
      <c r="I181" s="96"/>
      <c r="J181" s="96"/>
      <c r="L181" s="116" t="s">
        <v>656</v>
      </c>
      <c r="M181" s="394">
        <f>+M179/100*M180*M176</f>
        <v>35317.128000000004</v>
      </c>
      <c r="N181" s="394">
        <f t="shared" ref="N181:S181" si="52">+N179/100*N180*N176</f>
        <v>37925.779500000004</v>
      </c>
      <c r="O181" s="394">
        <f t="shared" si="52"/>
        <v>40707.003330000007</v>
      </c>
      <c r="P181" s="394">
        <f t="shared" si="52"/>
        <v>43671.535094250008</v>
      </c>
      <c r="Q181" s="394">
        <f t="shared" si="52"/>
        <v>46830.752526600008</v>
      </c>
      <c r="R181" s="394">
        <f t="shared" si="52"/>
        <v>50196.712864449401</v>
      </c>
      <c r="S181" s="394">
        <f t="shared" si="52"/>
        <v>53782.192354767212</v>
      </c>
    </row>
    <row r="182" spans="1:19">
      <c r="A182" s="95"/>
      <c r="B182" s="232"/>
      <c r="C182" s="256"/>
      <c r="D182" s="96"/>
      <c r="E182" s="96"/>
      <c r="F182" s="96"/>
      <c r="G182" s="96"/>
      <c r="H182" s="96"/>
      <c r="I182" s="96"/>
      <c r="J182" s="96"/>
      <c r="L182" s="94"/>
      <c r="M182" s="94"/>
      <c r="N182" s="94"/>
      <c r="O182" s="94"/>
      <c r="P182" s="94"/>
      <c r="Q182" s="94"/>
      <c r="R182" s="94"/>
      <c r="S182" s="94"/>
    </row>
    <row r="183" spans="1:19" hidden="1">
      <c r="A183" s="95"/>
      <c r="B183" s="232"/>
      <c r="C183" s="256"/>
      <c r="D183" s="96"/>
      <c r="E183" s="96"/>
      <c r="F183" s="96"/>
      <c r="G183" s="96"/>
      <c r="H183" s="96"/>
      <c r="I183" s="96"/>
      <c r="J183" s="96"/>
    </row>
    <row r="184" spans="1:19">
      <c r="A184" s="97" t="s">
        <v>264</v>
      </c>
      <c r="B184" s="97"/>
      <c r="C184" s="97"/>
      <c r="D184" s="115">
        <f>SUM(D179:D183)</f>
        <v>300000</v>
      </c>
      <c r="E184" s="115">
        <f t="shared" ref="E184:J184" si="53">SUM(E179:E183)</f>
        <v>315000</v>
      </c>
      <c r="F184" s="115">
        <f t="shared" si="53"/>
        <v>330750</v>
      </c>
      <c r="G184" s="115">
        <f t="shared" si="53"/>
        <v>347287.50000000006</v>
      </c>
      <c r="H184" s="115">
        <f t="shared" si="53"/>
        <v>364651.87500000006</v>
      </c>
      <c r="I184" s="115">
        <f t="shared" si="53"/>
        <v>382884.46875000012</v>
      </c>
      <c r="J184" s="115">
        <f t="shared" si="53"/>
        <v>402028.69218750013</v>
      </c>
    </row>
    <row r="185" spans="1:19">
      <c r="A185" s="196" t="s">
        <v>252</v>
      </c>
      <c r="B185" s="196"/>
      <c r="C185" s="196"/>
      <c r="D185" s="115">
        <f>D176+D184</f>
        <v>10451394.2881</v>
      </c>
      <c r="E185" s="115">
        <f t="shared" ref="E185:J185" si="54">E176+E184</f>
        <v>11727996.668143753</v>
      </c>
      <c r="F185" s="115">
        <f t="shared" si="54"/>
        <v>12623730.419062875</v>
      </c>
      <c r="G185" s="115">
        <f t="shared" si="54"/>
        <v>13680205.835801994</v>
      </c>
      <c r="H185" s="115">
        <f t="shared" si="54"/>
        <v>14948105.303378219</v>
      </c>
      <c r="I185" s="115">
        <f t="shared" si="54"/>
        <v>16512800.899213586</v>
      </c>
      <c r="J185" s="115">
        <f t="shared" si="54"/>
        <v>18521034.583352745</v>
      </c>
    </row>
    <row r="186" spans="1:19">
      <c r="A186" s="95"/>
      <c r="B186" s="95"/>
      <c r="C186" s="95"/>
      <c r="D186" s="96"/>
      <c r="E186" s="96"/>
      <c r="F186" s="96"/>
      <c r="G186" s="96"/>
      <c r="H186" s="96"/>
      <c r="I186" s="96"/>
      <c r="J186" s="96"/>
    </row>
    <row r="187" spans="1:19">
      <c r="A187" s="97" t="s">
        <v>7</v>
      </c>
      <c r="B187" s="97"/>
      <c r="C187" s="97"/>
      <c r="D187" s="115">
        <f t="shared" ref="D187:J187" si="55">D159-D185</f>
        <v>12803107.751899999</v>
      </c>
      <c r="E187" s="115">
        <f t="shared" si="55"/>
        <v>13244167.454356249</v>
      </c>
      <c r="F187" s="115">
        <f t="shared" si="55"/>
        <v>14179725.739087123</v>
      </c>
      <c r="G187" s="115">
        <f t="shared" si="55"/>
        <v>15075241.151256764</v>
      </c>
      <c r="H187" s="115">
        <f t="shared" si="55"/>
        <v>15887522.955084788</v>
      </c>
      <c r="I187" s="115">
        <f t="shared" si="55"/>
        <v>16539138.140326459</v>
      </c>
      <c r="J187" s="115">
        <f t="shared" si="55"/>
        <v>16891757.244725868</v>
      </c>
    </row>
    <row r="188" spans="1:19">
      <c r="A188" s="116"/>
      <c r="B188" s="116"/>
      <c r="C188" s="116"/>
      <c r="D188" s="94"/>
      <c r="E188" s="94"/>
      <c r="F188" s="94"/>
      <c r="G188" s="94"/>
      <c r="H188" s="94"/>
      <c r="I188" s="94"/>
      <c r="J188" s="94"/>
    </row>
    <row r="189" spans="1:19">
      <c r="A189" s="94"/>
      <c r="B189" s="94"/>
      <c r="C189" s="94"/>
      <c r="D189" s="94"/>
      <c r="E189" s="94"/>
      <c r="F189" s="94"/>
      <c r="G189" s="94"/>
      <c r="H189" s="94"/>
      <c r="I189" s="94"/>
      <c r="J189" s="94"/>
    </row>
    <row r="190" spans="1:19">
      <c r="A190" s="94"/>
      <c r="B190" s="94"/>
      <c r="C190" s="94"/>
      <c r="D190" s="94"/>
      <c r="E190" s="94"/>
      <c r="F190" s="94"/>
      <c r="G190" s="94"/>
      <c r="H190" s="94"/>
      <c r="I190" s="94"/>
      <c r="J190" s="94"/>
    </row>
    <row r="191" spans="1:19">
      <c r="A191" s="402" t="s">
        <v>385</v>
      </c>
      <c r="B191" s="402"/>
      <c r="C191" s="402"/>
      <c r="D191" s="402"/>
      <c r="E191" s="402"/>
      <c r="F191" s="402"/>
      <c r="G191" s="402"/>
      <c r="H191" s="402"/>
      <c r="I191" s="402"/>
      <c r="J191" s="402"/>
    </row>
    <row r="193" spans="1:5">
      <c r="A193" t="s">
        <v>492</v>
      </c>
    </row>
    <row r="194" spans="1:5">
      <c r="A194">
        <v>1</v>
      </c>
      <c r="B194" t="s">
        <v>505</v>
      </c>
    </row>
    <row r="195" spans="1:5">
      <c r="A195">
        <v>2</v>
      </c>
      <c r="B195" t="s">
        <v>506</v>
      </c>
      <c r="C195" s="67"/>
      <c r="D195" s="67"/>
      <c r="E195" s="67"/>
    </row>
    <row r="196" spans="1:5">
      <c r="A196">
        <v>3</v>
      </c>
      <c r="B196" s="94" t="s">
        <v>557</v>
      </c>
    </row>
  </sheetData>
  <mergeCells count="4">
    <mergeCell ref="A3:H3"/>
    <mergeCell ref="A147:J147"/>
    <mergeCell ref="A191:J191"/>
    <mergeCell ref="A4:H4"/>
  </mergeCells>
  <pageMargins left="0.70866141732283472" right="0.70866141732283472" top="0.74803149606299213" bottom="0.74803149606299213" header="0.31496062992125984" footer="0.31496062992125984"/>
  <pageSetup paperSize="9" scale="43" orientation="landscape" r:id="rId1"/>
  <rowBreaks count="1" manualBreakCount="1">
    <brk id="145" max="9" man="1"/>
  </rowBreaks>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2022-05-10T07:42:47Z</dcterms:modified>
</cp:coreProperties>
</file>